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05a2c4cbbac442c6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cken\Desktop\opti-demo-excel\"/>
    </mc:Choice>
  </mc:AlternateContent>
  <workbookProtection workbookAlgorithmName="SHA-512" workbookHashValue="Xb+OQ/cCu9VNRumJzhXfN25ZTLtnZILqR98xlFl6+3iWihSJjZNqoK4clBvhsGmRgfYyug6f2r5JCNnunKW5qQ==" workbookSaltValue="MSecyvtwgaooYt82oINQeg==" workbookSpinCount="100000" lockStructure="1"/>
  <bookViews>
    <workbookView xWindow="0" yWindow="0" windowWidth="16755" windowHeight="4965" tabRatio="831"/>
  </bookViews>
  <sheets>
    <sheet name="Übersicht" sheetId="1" r:id="rId1"/>
    <sheet name="Zyklusdiagramm" sheetId="11" r:id="rId2"/>
    <sheet name="Tag 1" sheetId="110" r:id="rId3"/>
    <sheet name="Tag 2" sheetId="111" r:id="rId4"/>
    <sheet name="Tag 3" sheetId="112" r:id="rId5"/>
    <sheet name="Tag 4" sheetId="113" r:id="rId6"/>
  </sheets>
  <functionGroups builtInGroupCount="18"/>
  <definedNames>
    <definedName name="Aktivierung">#REF!</definedName>
    <definedName name="AktivierungKey">#REF!</definedName>
    <definedName name="Applikationsarten">#REF!</definedName>
    <definedName name="Auftragsnummer">Übersicht!$K$5</definedName>
    <definedName name="cellZykloStartDay" localSheetId="2">Zyklusdiagramm!#REF!</definedName>
    <definedName name="cellZykloStartDay" localSheetId="3">Zyklusdiagramm!#REF!</definedName>
    <definedName name="cellZykloStartDay" localSheetId="4">Zyklusdiagramm!#REF!</definedName>
    <definedName name="cellZykloStartDay" localSheetId="5">Zyklusdiagramm!#REF!</definedName>
    <definedName name="cellZykloStartDay">Zyklusdiagramm!#REF!</definedName>
    <definedName name="Dateipfad">Übersicht!$C$17</definedName>
    <definedName name="DatumErsterZyklus">Übersicht!$I$7</definedName>
    <definedName name="Diagnose">Übersicht!$C$3</definedName>
    <definedName name="Einheiten">#REF!</definedName>
    <definedName name="Empfehlungen">Übersicht!$C$12</definedName>
    <definedName name="EmpfZyklen">Übersicht!$E$6</definedName>
    <definedName name="ErstdiagnoseDatum">Übersicht!$K$3</definedName>
    <definedName name="Generic_1_Appl">Übersicht!$B$67</definedName>
    <definedName name="Generic_1_Unit">Übersicht!$B$68</definedName>
    <definedName name="Generic_2_Appl">Übersicht!$B$71</definedName>
    <definedName name="Generic_2_Unit">Übersicht!$B$72</definedName>
    <definedName name="Generic_3_Appl">Übersicht!$B$75</definedName>
    <definedName name="Generic_3_Unit">Übersicht!$B$76</definedName>
    <definedName name="Generic_4_Appl">Übersicht!$B$79</definedName>
    <definedName name="Generic_4_Unit">Übersicht!$B$80</definedName>
    <definedName name="GFR_ITEM">#REF!</definedName>
    <definedName name="GroesseCM">Übersicht!$C$4</definedName>
    <definedName name="GroesseCM_1">'Tag 1'!$D$4</definedName>
    <definedName name="GroesseCM_2">'Tag 2'!$D$4</definedName>
    <definedName name="GroesseCM_3">'Tag 3'!$D$4</definedName>
    <definedName name="GroesseCM_4">'Tag 4'!$D$4</definedName>
    <definedName name="HardwareId">#REF!</definedName>
    <definedName name="HeadAbteilung">#REF!</definedName>
    <definedName name="HeadArzt">#REF!</definedName>
    <definedName name="HeadFax">#REF!</definedName>
    <definedName name="HeadKlinik">#REF!</definedName>
    <definedName name="HeadStation">#REF!</definedName>
    <definedName name="HeadTelefon">#REF!</definedName>
    <definedName name="Herkunft">Übersicht!$C$13</definedName>
    <definedName name="Hinweise">Übersicht!$C$8</definedName>
    <definedName name="Indikationen">Übersicht!$C$11</definedName>
    <definedName name="IntervallTage">Übersicht!$E$7</definedName>
    <definedName name="IntervalltageOriginal">Übersicht!$G$6</definedName>
    <definedName name="KG">Übersicht!$E$4</definedName>
    <definedName name="KG_1">'Tag 1'!$F$4</definedName>
    <definedName name="KG_2">'Tag 2'!$F$4</definedName>
    <definedName name="KG_3">'Tag 3'!$F$4</definedName>
    <definedName name="KG_4">'Tag 4'!$F$4</definedName>
    <definedName name="Klassifikation">Übersicht!$C$10</definedName>
    <definedName name="KOF">Übersicht!$G$4</definedName>
    <definedName name="KOF_1">'Tag 1'!$H$4</definedName>
    <definedName name="KOF_2">'Tag 2'!$H$4</definedName>
    <definedName name="KOF_3">'Tag 3'!$H$4</definedName>
    <definedName name="KOF_4">'Tag 4'!$H$4</definedName>
    <definedName name="Literatur0">Übersicht!$C$14</definedName>
    <definedName name="Literatur1">Übersicht!$C$15</definedName>
    <definedName name="Literatur2">Übersicht!$C$16</definedName>
    <definedName name="ModuleHead_1_1">'Tag 1'!$B$35</definedName>
    <definedName name="ModuleHead_1_2">'Tag 2'!$B$35</definedName>
    <definedName name="ModuleHead_1_3">'Tag 3'!$B$35</definedName>
    <definedName name="ModuleHead_1_4">'Tag 4'!$B$35</definedName>
    <definedName name="ModuleHead_1011_1">'Tag 1'!$B$32</definedName>
    <definedName name="ModuleHead_1011_2">'Tag 2'!$B$32</definedName>
    <definedName name="ModuleHead_1011_3">'Tag 3'!$B$32</definedName>
    <definedName name="ModuleHead_1011_4">'Tag 4'!$B$32</definedName>
    <definedName name="ModuleHead_1041_1">'Tag 1'!$B$11</definedName>
    <definedName name="ModuleHead_1041_2">'Tag 2'!$B$11</definedName>
    <definedName name="ModuleHead_1041_3">'Tag 3'!$B$11</definedName>
    <definedName name="ModuleHead_1041_4">'Tag 4'!$B$11</definedName>
    <definedName name="ModuleHead_2859_1">'Tag 1'!$B$21</definedName>
    <definedName name="ModuleHead_2859_2">'Tag 2'!$B$21</definedName>
    <definedName name="ModuleHead_2859_3">'Tag 3'!$B$21</definedName>
    <definedName name="ModuleHead_2859_4">'Tag 4'!$B$21</definedName>
    <definedName name="ModuleHead_381_1">'Tag 1'!$B$14</definedName>
    <definedName name="ModuleHead_381_2">'Tag 2'!$B$14</definedName>
    <definedName name="ModuleHead_381_3">'Tag 3'!$B$14</definedName>
    <definedName name="ModuleHead_381_4">'Tag 4'!$B$14</definedName>
    <definedName name="nächsterZyklus">Übersicht!$K$7</definedName>
    <definedName name="NM_s">#REF!</definedName>
    <definedName name="OVRow_1">Übersicht!$B$66</definedName>
    <definedName name="OVRow_11533">Übersicht!$B$35</definedName>
    <definedName name="OVRow_2">Übersicht!$B$70</definedName>
    <definedName name="OVRow_2339">Übersicht!$B$61</definedName>
    <definedName name="OVRow_2435">Übersicht!$B$22</definedName>
    <definedName name="OVRow_3">Übersicht!$B$74</definedName>
    <definedName name="OVRow_4">Übersicht!$B$78</definedName>
    <definedName name="OVRow_6606">Übersicht!$B$44</definedName>
    <definedName name="OVRow_6607">Übersicht!$B$48</definedName>
    <definedName name="OVRow_6608">Übersicht!$B$40</definedName>
    <definedName name="OVRow_6609">Übersicht!$B$52</definedName>
    <definedName name="OVRow_6610">Übersicht!$B$56</definedName>
    <definedName name="OVRow_947">Übersicht!$B$27</definedName>
    <definedName name="OVRow_948">Übersicht!$B$31</definedName>
    <definedName name="PatientAlter">Übersicht!$H$6</definedName>
    <definedName name="PatientGeboren">Übersicht!$G$2</definedName>
    <definedName name="PatientGeschlecht">Übersicht!$K$2</definedName>
    <definedName name="PatientHautfarbe">#REF!</definedName>
    <definedName name="PatientID">Übersicht!$K$4</definedName>
    <definedName name="PatientInfusionsarm">Übersicht!$I$4</definedName>
    <definedName name="PatientKreatininClearance">Übersicht!$G$5</definedName>
    <definedName name="PatientKreatininClearanceDatum" localSheetId="2">Übersicht!#REF!</definedName>
    <definedName name="PatientKreatininClearanceDatum" localSheetId="3">Übersicht!#REF!</definedName>
    <definedName name="PatientKreatininClearanceDatum" localSheetId="4">Übersicht!#REF!</definedName>
    <definedName name="PatientKreatininClearanceDatum" localSheetId="5">Übersicht!#REF!</definedName>
    <definedName name="PatientKreatininClearanceDatum">Übersicht!#REF!</definedName>
    <definedName name="PatientName">Übersicht!$B$2</definedName>
    <definedName name="PatientPort">Übersicht!$I$5</definedName>
    <definedName name="PatientSerumKreatinin">Übersicht!$C$5</definedName>
    <definedName name="PatientSerumKreatininDatum">Übersicht!$E$5</definedName>
    <definedName name="PD_1">Übersicht!$C$19</definedName>
    <definedName name="PD_2">Übersicht!$D$19</definedName>
    <definedName name="PD_3">Übersicht!$E$19</definedName>
    <definedName name="PD_4">Übersicht!$F$19</definedName>
    <definedName name="PDateDS_1">'Tag 1'!$D$9</definedName>
    <definedName name="PDateDS_2">'Tag 2'!$D$9</definedName>
    <definedName name="PDateDS_3">'Tag 3'!$D$9</definedName>
    <definedName name="PDateDS_4">'Tag 4'!$D$9</definedName>
    <definedName name="PDateOV_1">Übersicht!$C$20</definedName>
    <definedName name="PDateOV_2">Übersicht!$D$20</definedName>
    <definedName name="PDateOV_3">Übersicht!$E$20</definedName>
    <definedName name="PDateOV_4">Übersicht!$F$20</definedName>
    <definedName name="PMSID_1_1_A_D">'Tag 1'!$D$36</definedName>
    <definedName name="PMSID_1_1_A_OV">Übersicht!$C$66</definedName>
    <definedName name="PMSID_1_1_B_D">'Tag 1'!$E$36</definedName>
    <definedName name="PMSID_1_1_B_OV">Übersicht!$C$68</definedName>
    <definedName name="PMSID_1_1_F_D">'Tag 1'!$F$36</definedName>
    <definedName name="PMSID_1_1_F_OV">Übersicht!$C$67</definedName>
    <definedName name="PMSID_1_1_Name">'Tag 1'!$C$36</definedName>
    <definedName name="PMSID_1_2_A_D">'Tag 2'!$D$36</definedName>
    <definedName name="PMSID_1_2_A_OV">Übersicht!$D$66</definedName>
    <definedName name="PMSID_1_2_B_D">'Tag 2'!$E$36</definedName>
    <definedName name="PMSID_1_2_B_OV">Übersicht!$D$68</definedName>
    <definedName name="PMSID_1_2_F_D">'Tag 2'!$F$36</definedName>
    <definedName name="PMSID_1_2_F_OV">Übersicht!$D$67</definedName>
    <definedName name="PMSID_1_2_Name">'Tag 2'!$C$36</definedName>
    <definedName name="PMSID_1_3_A_D">'Tag 3'!$D$36</definedName>
    <definedName name="PMSID_1_3_A_OV">Übersicht!$E$66</definedName>
    <definedName name="PMSID_1_3_B_D">'Tag 3'!$E$36</definedName>
    <definedName name="PMSID_1_3_B_OV">Übersicht!$E$68</definedName>
    <definedName name="PMSID_1_3_F_D">'Tag 3'!$F$36</definedName>
    <definedName name="PMSID_1_3_F_OV">Übersicht!$E$67</definedName>
    <definedName name="PMSID_1_3_Name">'Tag 3'!$C$36</definedName>
    <definedName name="PMSID_1_4_A_D">'Tag 4'!$D$36</definedName>
    <definedName name="PMSID_1_4_A_OV">Übersicht!$F$66</definedName>
    <definedName name="PMSID_1_4_B_D">'Tag 4'!$E$36</definedName>
    <definedName name="PMSID_1_4_B_OV">Übersicht!$F$68</definedName>
    <definedName name="PMSID_1_4_F_D">'Tag 4'!$F$36</definedName>
    <definedName name="PMSID_1_4_F_OV">Übersicht!$F$67</definedName>
    <definedName name="PMSID_1_4_Name">'Tag 4'!$C$36</definedName>
    <definedName name="PMSID_11533_1_A_D">'Tag 1'!$D$19</definedName>
    <definedName name="PMSID_11533_1_A_OV">Übersicht!$C$35</definedName>
    <definedName name="PMSID_11533_1_B_D">'Tag 1'!$E$19</definedName>
    <definedName name="PMSID_11533_1_B_OV">Übersicht!$C$37</definedName>
    <definedName name="PMSID_11533_1_F_D">'Tag 1'!$F$19</definedName>
    <definedName name="PMSID_11533_1_F_OV">Übersicht!$C$36</definedName>
    <definedName name="PMSID_11533_1_Name">'Tag 1'!$C$19</definedName>
    <definedName name="PMSID_11533_2_A_D">'Tag 2'!$D$19</definedName>
    <definedName name="PMSID_11533_2_A_OV">Übersicht!$D$35</definedName>
    <definedName name="PMSID_11533_2_B_D">'Tag 2'!$E$19</definedName>
    <definedName name="PMSID_11533_2_B_OV">Übersicht!$D$37</definedName>
    <definedName name="PMSID_11533_2_F_D">'Tag 2'!$F$19</definedName>
    <definedName name="PMSID_11533_2_F_OV">Übersicht!$D$36</definedName>
    <definedName name="PMSID_11533_2_Name">'Tag 2'!$C$19</definedName>
    <definedName name="PMSID_11533_3_A_D">'Tag 3'!$D$19</definedName>
    <definedName name="PMSID_11533_3_A_OV">Übersicht!$E$35</definedName>
    <definedName name="PMSID_11533_3_B_D">'Tag 3'!$E$19</definedName>
    <definedName name="PMSID_11533_3_B_OV">Übersicht!$E$37</definedName>
    <definedName name="PMSID_11533_3_F_D">'Tag 3'!$F$19</definedName>
    <definedName name="PMSID_11533_3_F_OV">Übersicht!$E$36</definedName>
    <definedName name="PMSID_11533_3_Name">'Tag 3'!$C$19</definedName>
    <definedName name="PMSID_11533_4_A_D">'Tag 4'!$D$19</definedName>
    <definedName name="PMSID_11533_4_A_OV">Übersicht!$F$35</definedName>
    <definedName name="PMSID_11533_4_B_D">'Tag 4'!$E$19</definedName>
    <definedName name="PMSID_11533_4_B_OV">Übersicht!$F$37</definedName>
    <definedName name="PMSID_11533_4_F_D">'Tag 4'!$F$19</definedName>
    <definedName name="PMSID_11533_4_F_OV">Übersicht!$F$36</definedName>
    <definedName name="PMSID_11533_4_Name">'Tag 4'!$C$19</definedName>
    <definedName name="PMSID_2_1_A_D">'Tag 1'!$D$38</definedName>
    <definedName name="PMSID_2_1_A_OV">Übersicht!$C$70</definedName>
    <definedName name="PMSID_2_1_B_D">'Tag 1'!$E$38</definedName>
    <definedName name="PMSID_2_1_B_OV">Übersicht!$C$72</definedName>
    <definedName name="PMSID_2_1_F_D">'Tag 1'!$F$38</definedName>
    <definedName name="PMSID_2_1_F_OV">Übersicht!$C$71</definedName>
    <definedName name="PMSID_2_1_Name">'Tag 1'!$C$38</definedName>
    <definedName name="PMSID_2_2_A_D">'Tag 2'!$D$38</definedName>
    <definedName name="PMSID_2_2_A_OV">Übersicht!$D$70</definedName>
    <definedName name="PMSID_2_2_B_D">'Tag 2'!$E$38</definedName>
    <definedName name="PMSID_2_2_B_OV">Übersicht!$D$72</definedName>
    <definedName name="PMSID_2_2_F_D">'Tag 2'!$F$38</definedName>
    <definedName name="PMSID_2_2_F_OV">Übersicht!$D$71</definedName>
    <definedName name="PMSID_2_2_Name">'Tag 2'!$C$38</definedName>
    <definedName name="PMSID_2_3_A_D">'Tag 3'!$D$38</definedName>
    <definedName name="PMSID_2_3_A_OV">Übersicht!$E$70</definedName>
    <definedName name="PMSID_2_3_B_D">'Tag 3'!$E$38</definedName>
    <definedName name="PMSID_2_3_B_OV">Übersicht!$E$72</definedName>
    <definedName name="PMSID_2_3_F_D">'Tag 3'!$F$38</definedName>
    <definedName name="PMSID_2_3_F_OV">Übersicht!$E$71</definedName>
    <definedName name="PMSID_2_3_Name">'Tag 3'!$C$38</definedName>
    <definedName name="PMSID_2_4_A_D">'Tag 4'!$D$38</definedName>
    <definedName name="PMSID_2_4_A_OV">Übersicht!$F$70</definedName>
    <definedName name="PMSID_2_4_B_D">'Tag 4'!$E$38</definedName>
    <definedName name="PMSID_2_4_B_OV">Übersicht!$F$72</definedName>
    <definedName name="PMSID_2_4_F_D">'Tag 4'!$F$38</definedName>
    <definedName name="PMSID_2_4_F_OV">Übersicht!$F$71</definedName>
    <definedName name="PMSID_2_4_Name">'Tag 4'!$C$38</definedName>
    <definedName name="PMSID_2339_1_A_D">'Tag 1'!$D$33</definedName>
    <definedName name="PMSID_2339_1_A_OV">Übersicht!$C$61</definedName>
    <definedName name="PMSID_2339_1_B_D">'Tag 1'!$E$33</definedName>
    <definedName name="PMSID_2339_1_B_OV">Übersicht!$C$63</definedName>
    <definedName name="PMSID_2339_1_F_D">'Tag 1'!$F$33</definedName>
    <definedName name="PMSID_2339_1_F_OV">Übersicht!$C$62</definedName>
    <definedName name="PMSID_2339_1_Name">'Tag 1'!$C$33</definedName>
    <definedName name="PMSID_2339_2_A_D">'Tag 2'!$D$33</definedName>
    <definedName name="PMSID_2339_2_A_OV">Übersicht!$D$61</definedName>
    <definedName name="PMSID_2339_2_B_D">'Tag 2'!$E$33</definedName>
    <definedName name="PMSID_2339_2_B_OV">Übersicht!$D$63</definedName>
    <definedName name="PMSID_2339_2_F_D">'Tag 2'!$F$33</definedName>
    <definedName name="PMSID_2339_2_F_OV">Übersicht!$D$62</definedName>
    <definedName name="PMSID_2339_2_Name">'Tag 2'!$C$33</definedName>
    <definedName name="PMSID_2339_3_A_D">'Tag 3'!$D$33</definedName>
    <definedName name="PMSID_2339_3_A_OV">Übersicht!$E$61</definedName>
    <definedName name="PMSID_2339_3_B_D">'Tag 3'!$E$33</definedName>
    <definedName name="PMSID_2339_3_B_OV">Übersicht!$E$63</definedName>
    <definedName name="PMSID_2339_3_F_D">'Tag 3'!$F$33</definedName>
    <definedName name="PMSID_2339_3_F_OV">Übersicht!$E$62</definedName>
    <definedName name="PMSID_2339_3_Name">'Tag 3'!$C$33</definedName>
    <definedName name="PMSID_2339_4_A_D">'Tag 4'!$D$33</definedName>
    <definedName name="PMSID_2339_4_A_OV">Übersicht!$F$61</definedName>
    <definedName name="PMSID_2339_4_B_D">'Tag 4'!$E$33</definedName>
    <definedName name="PMSID_2339_4_B_OV">Übersicht!$F$63</definedName>
    <definedName name="PMSID_2339_4_F_D">'Tag 4'!$F$33</definedName>
    <definedName name="PMSID_2339_4_F_OV">Übersicht!$F$62</definedName>
    <definedName name="PMSID_2339_4_Name">'Tag 4'!$C$33</definedName>
    <definedName name="PMSID_2435_1_A_D">'Tag 1'!$D$12</definedName>
    <definedName name="PMSID_2435_1_A_OV">Übersicht!$C$22</definedName>
    <definedName name="PMSID_2435_1_B_D">'Tag 1'!$E$12</definedName>
    <definedName name="PMSID_2435_1_B_OV">Übersicht!$C$24</definedName>
    <definedName name="PMSID_2435_1_F_D">'Tag 1'!$F$12</definedName>
    <definedName name="PMSID_2435_1_F_OV">Übersicht!$C$23</definedName>
    <definedName name="PMSID_2435_1_Name">'Tag 1'!$C$12</definedName>
    <definedName name="PMSID_2435_2_A_D">'Tag 2'!$D$12</definedName>
    <definedName name="PMSID_2435_2_A_OV">Übersicht!$D$22</definedName>
    <definedName name="PMSID_2435_2_B_D">'Tag 2'!$E$12</definedName>
    <definedName name="PMSID_2435_2_B_OV">Übersicht!$D$24</definedName>
    <definedName name="PMSID_2435_2_F_D">'Tag 2'!$F$12</definedName>
    <definedName name="PMSID_2435_2_F_OV">Übersicht!$D$23</definedName>
    <definedName name="PMSID_2435_2_Name">'Tag 2'!$C$12</definedName>
    <definedName name="PMSID_2435_3_A_D">'Tag 3'!$D$12</definedName>
    <definedName name="PMSID_2435_3_A_OV">Übersicht!$E$22</definedName>
    <definedName name="PMSID_2435_3_B_D">'Tag 3'!$E$12</definedName>
    <definedName name="PMSID_2435_3_B_OV">Übersicht!$E$24</definedName>
    <definedName name="PMSID_2435_3_F_D">'Tag 3'!$F$12</definedName>
    <definedName name="PMSID_2435_3_F_OV">Übersicht!$E$23</definedName>
    <definedName name="PMSID_2435_3_Name">'Tag 3'!$C$12</definedName>
    <definedName name="PMSID_2435_4_A_D">'Tag 4'!$D$12</definedName>
    <definedName name="PMSID_2435_4_A_OV">Übersicht!$F$22</definedName>
    <definedName name="PMSID_2435_4_B_D">'Tag 4'!$E$12</definedName>
    <definedName name="PMSID_2435_4_B_OV">Übersicht!$F$24</definedName>
    <definedName name="PMSID_2435_4_F_D">'Tag 4'!$F$12</definedName>
    <definedName name="PMSID_2435_4_F_OV">Übersicht!$F$23</definedName>
    <definedName name="PMSID_2435_4_Name">'Tag 4'!$C$12</definedName>
    <definedName name="PMSID_3_1_A_D">'Tag 1'!$D$40</definedName>
    <definedName name="PMSID_3_1_A_OV">Übersicht!$C$74</definedName>
    <definedName name="PMSID_3_1_B_D">'Tag 1'!$E$40</definedName>
    <definedName name="PMSID_3_1_B_OV">Übersicht!$C$76</definedName>
    <definedName name="PMSID_3_1_F_D">'Tag 1'!$F$40</definedName>
    <definedName name="PMSID_3_1_F_OV">Übersicht!$C$75</definedName>
    <definedName name="PMSID_3_1_Name">'Tag 1'!$C$40</definedName>
    <definedName name="PMSID_3_2_A_D">'Tag 2'!$D$40</definedName>
    <definedName name="PMSID_3_2_A_OV">Übersicht!$D$74</definedName>
    <definedName name="PMSID_3_2_B_D">'Tag 2'!$E$40</definedName>
    <definedName name="PMSID_3_2_B_OV">Übersicht!$D$76</definedName>
    <definedName name="PMSID_3_2_F_D">'Tag 2'!$F$40</definedName>
    <definedName name="PMSID_3_2_F_OV">Übersicht!$D$75</definedName>
    <definedName name="PMSID_3_2_Name">'Tag 2'!$C$40</definedName>
    <definedName name="PMSID_3_3_A_D">'Tag 3'!$D$40</definedName>
    <definedName name="PMSID_3_3_A_OV">Übersicht!$E$74</definedName>
    <definedName name="PMSID_3_3_B_D">'Tag 3'!$E$40</definedName>
    <definedName name="PMSID_3_3_B_OV">Übersicht!$E$76</definedName>
    <definedName name="PMSID_3_3_F_D">'Tag 3'!$F$40</definedName>
    <definedName name="PMSID_3_3_F_OV">Übersicht!$E$75</definedName>
    <definedName name="PMSID_3_3_Name">'Tag 3'!$C$40</definedName>
    <definedName name="PMSID_3_4_A_D">'Tag 4'!$D$40</definedName>
    <definedName name="PMSID_3_4_A_OV">Übersicht!$F$74</definedName>
    <definedName name="PMSID_3_4_B_D">'Tag 4'!$E$40</definedName>
    <definedName name="PMSID_3_4_B_OV">Übersicht!$F$76</definedName>
    <definedName name="PMSID_3_4_F_D">'Tag 4'!$F$40</definedName>
    <definedName name="PMSID_3_4_F_OV">Übersicht!$F$75</definedName>
    <definedName name="PMSID_3_4_Name">'Tag 4'!$C$40</definedName>
    <definedName name="PMSID_4_1_A_D">'Tag 1'!$D$42</definedName>
    <definedName name="PMSID_4_1_A_OV">Übersicht!$C$78</definedName>
    <definedName name="PMSID_4_1_B_D">'Tag 1'!$E$42</definedName>
    <definedName name="PMSID_4_1_B_OV">Übersicht!$C$80</definedName>
    <definedName name="PMSID_4_1_F_D">'Tag 1'!$F$42</definedName>
    <definedName name="PMSID_4_1_F_OV">Übersicht!$C$79</definedName>
    <definedName name="PMSID_4_1_Name">'Tag 1'!$C$42</definedName>
    <definedName name="PMSID_4_2_A_D">'Tag 2'!$D$42</definedName>
    <definedName name="PMSID_4_2_A_OV">Übersicht!$D$78</definedName>
    <definedName name="PMSID_4_2_B_D">'Tag 2'!$E$42</definedName>
    <definedName name="PMSID_4_2_B_OV">Übersicht!$D$80</definedName>
    <definedName name="PMSID_4_2_F_D">'Tag 2'!$F$42</definedName>
    <definedName name="PMSID_4_2_F_OV">Übersicht!$D$79</definedName>
    <definedName name="PMSID_4_2_Name">'Tag 2'!$C$42</definedName>
    <definedName name="PMSID_4_3_A_D">'Tag 3'!$D$42</definedName>
    <definedName name="PMSID_4_3_A_OV">Übersicht!$E$78</definedName>
    <definedName name="PMSID_4_3_B_D">'Tag 3'!$E$42</definedName>
    <definedName name="PMSID_4_3_B_OV">Übersicht!$E$80</definedName>
    <definedName name="PMSID_4_3_F_D">'Tag 3'!$F$42</definedName>
    <definedName name="PMSID_4_3_F_OV">Übersicht!$E$79</definedName>
    <definedName name="PMSID_4_3_Name">'Tag 3'!$C$42</definedName>
    <definedName name="PMSID_4_4_A_D">'Tag 4'!$D$42</definedName>
    <definedName name="PMSID_4_4_A_OV">Übersicht!$F$78</definedName>
    <definedName name="PMSID_4_4_B_D">'Tag 4'!$E$42</definedName>
    <definedName name="PMSID_4_4_B_OV">Übersicht!$F$80</definedName>
    <definedName name="PMSID_4_4_F_D">'Tag 4'!$F$42</definedName>
    <definedName name="PMSID_4_4_F_OV">Übersicht!$F$79</definedName>
    <definedName name="PMSID_4_4_Name">'Tag 4'!$C$42</definedName>
    <definedName name="PMSID_6606_1_A_D">'Tag 1'!$D$24</definedName>
    <definedName name="PMSID_6606_1_A_OV">Übersicht!$C$44</definedName>
    <definedName name="PMSID_6606_1_B_D">'Tag 1'!$E$24</definedName>
    <definedName name="PMSID_6606_1_B_OV">Übersicht!$C$46</definedName>
    <definedName name="PMSID_6606_1_F_D">'Tag 1'!$F$24</definedName>
    <definedName name="PMSID_6606_1_F_OV">Übersicht!$C$45</definedName>
    <definedName name="PMSID_6606_1_Name">'Tag 1'!$C$24</definedName>
    <definedName name="PMSID_6606_2_A_D">'Tag 2'!$D$24</definedName>
    <definedName name="PMSID_6606_2_A_OV">Übersicht!$D$44</definedName>
    <definedName name="PMSID_6606_2_B_D">'Tag 2'!$E$24</definedName>
    <definedName name="PMSID_6606_2_B_OV">Übersicht!$D$46</definedName>
    <definedName name="PMSID_6606_2_F_D">'Tag 2'!$F$24</definedName>
    <definedName name="PMSID_6606_2_F_OV">Übersicht!$D$45</definedName>
    <definedName name="PMSID_6606_2_Name">'Tag 2'!$C$24</definedName>
    <definedName name="PMSID_6606_3_A_D">'Tag 3'!$D$24</definedName>
    <definedName name="PMSID_6606_3_A_OV">Übersicht!$E$44</definedName>
    <definedName name="PMSID_6606_3_B_D">'Tag 3'!$E$24</definedName>
    <definedName name="PMSID_6606_3_B_OV">Übersicht!$E$46</definedName>
    <definedName name="PMSID_6606_3_F_D">'Tag 3'!$F$24</definedName>
    <definedName name="PMSID_6606_3_F_OV">Übersicht!$E$45</definedName>
    <definedName name="PMSID_6606_3_Name">'Tag 3'!$C$24</definedName>
    <definedName name="PMSID_6606_4_A_D">'Tag 4'!$D$24</definedName>
    <definedName name="PMSID_6606_4_A_OV">Übersicht!$F$44</definedName>
    <definedName name="PMSID_6606_4_B_D">'Tag 4'!$E$24</definedName>
    <definedName name="PMSID_6606_4_B_OV">Übersicht!$F$46</definedName>
    <definedName name="PMSID_6606_4_F_D">'Tag 4'!$F$24</definedName>
    <definedName name="PMSID_6606_4_F_OV">Übersicht!$F$45</definedName>
    <definedName name="PMSID_6606_4_Name">'Tag 4'!$C$24</definedName>
    <definedName name="PMSID_6607_1_A_D">'Tag 1'!$D$26</definedName>
    <definedName name="PMSID_6607_1_A_OV">Übersicht!$C$48</definedName>
    <definedName name="PMSID_6607_1_B_D">'Tag 1'!$E$26</definedName>
    <definedName name="PMSID_6607_1_B_OV">Übersicht!$C$50</definedName>
    <definedName name="PMSID_6607_1_F_D">'Tag 1'!$F$26</definedName>
    <definedName name="PMSID_6607_1_F_OV">Übersicht!$C$49</definedName>
    <definedName name="PMSID_6607_1_Name">'Tag 1'!$C$26</definedName>
    <definedName name="PMSID_6607_2_A_D">'Tag 2'!$D$26</definedName>
    <definedName name="PMSID_6607_2_A_OV">Übersicht!$D$48</definedName>
    <definedName name="PMSID_6607_2_B_D">'Tag 2'!$E$26</definedName>
    <definedName name="PMSID_6607_2_B_OV">Übersicht!$D$50</definedName>
    <definedName name="PMSID_6607_2_F_D">'Tag 2'!$F$26</definedName>
    <definedName name="PMSID_6607_2_F_OV">Übersicht!$D$49</definedName>
    <definedName name="PMSID_6607_2_Name">'Tag 2'!$C$26</definedName>
    <definedName name="PMSID_6607_3_A_D">'Tag 3'!$D$26</definedName>
    <definedName name="PMSID_6607_3_A_OV">Übersicht!$E$48</definedName>
    <definedName name="PMSID_6607_3_B_D">'Tag 3'!$E$26</definedName>
    <definedName name="PMSID_6607_3_B_OV">Übersicht!$E$50</definedName>
    <definedName name="PMSID_6607_3_F_D">'Tag 3'!$F$26</definedName>
    <definedName name="PMSID_6607_3_F_OV">Übersicht!$E$49</definedName>
    <definedName name="PMSID_6607_3_Name">'Tag 3'!$C$26</definedName>
    <definedName name="PMSID_6607_4_A_D">'Tag 4'!$D$26</definedName>
    <definedName name="PMSID_6607_4_A_OV">Übersicht!$F$48</definedName>
    <definedName name="PMSID_6607_4_B_D">'Tag 4'!$E$26</definedName>
    <definedName name="PMSID_6607_4_B_OV">Übersicht!$F$50</definedName>
    <definedName name="PMSID_6607_4_F_D">'Tag 4'!$F$26</definedName>
    <definedName name="PMSID_6607_4_F_OV">Übersicht!$F$49</definedName>
    <definedName name="PMSID_6607_4_Name">'Tag 4'!$C$26</definedName>
    <definedName name="PMSID_6608_1_A_D">'Tag 1'!$D$22</definedName>
    <definedName name="PMSID_6608_1_A_OV">Übersicht!$C$40</definedName>
    <definedName name="PMSID_6608_1_B_D">'Tag 1'!$E$22</definedName>
    <definedName name="PMSID_6608_1_B_OV">Übersicht!$C$42</definedName>
    <definedName name="PMSID_6608_1_F_D">'Tag 1'!$F$22</definedName>
    <definedName name="PMSID_6608_1_F_OV">Übersicht!$C$41</definedName>
    <definedName name="PMSID_6608_1_Name">'Tag 1'!$C$22</definedName>
    <definedName name="PMSID_6608_2_A_D">'Tag 2'!$D$22</definedName>
    <definedName name="PMSID_6608_2_A_OV">Übersicht!$D$40</definedName>
    <definedName name="PMSID_6608_2_B_D">'Tag 2'!$E$22</definedName>
    <definedName name="PMSID_6608_2_B_OV">Übersicht!$D$42</definedName>
    <definedName name="PMSID_6608_2_F_D">'Tag 2'!$F$22</definedName>
    <definedName name="PMSID_6608_2_F_OV">Übersicht!$D$41</definedName>
    <definedName name="PMSID_6608_2_Name">'Tag 2'!$C$22</definedName>
    <definedName name="PMSID_6608_3_A_D">'Tag 3'!$D$22</definedName>
    <definedName name="PMSID_6608_3_A_OV">Übersicht!$E$40</definedName>
    <definedName name="PMSID_6608_3_B_D">'Tag 3'!$E$22</definedName>
    <definedName name="PMSID_6608_3_B_OV">Übersicht!$E$42</definedName>
    <definedName name="PMSID_6608_3_F_D">'Tag 3'!$F$22</definedName>
    <definedName name="PMSID_6608_3_F_OV">Übersicht!$E$41</definedName>
    <definedName name="PMSID_6608_3_Name">'Tag 3'!$C$22</definedName>
    <definedName name="PMSID_6608_4_A_D">'Tag 4'!$D$22</definedName>
    <definedName name="PMSID_6608_4_A_OV">Übersicht!$F$40</definedName>
    <definedName name="PMSID_6608_4_B_D">'Tag 4'!$E$22</definedName>
    <definedName name="PMSID_6608_4_B_OV">Übersicht!$F$42</definedName>
    <definedName name="PMSID_6608_4_F_D">'Tag 4'!$F$22</definedName>
    <definedName name="PMSID_6608_4_F_OV">Übersicht!$F$41</definedName>
    <definedName name="PMSID_6608_4_Name">'Tag 4'!$C$22</definedName>
    <definedName name="PMSID_6609_1_A_D">'Tag 1'!$D$28</definedName>
    <definedName name="PMSID_6609_1_A_OV">Übersicht!$C$52</definedName>
    <definedName name="PMSID_6609_1_B_D">'Tag 1'!$E$28</definedName>
    <definedName name="PMSID_6609_1_B_OV">Übersicht!$C$54</definedName>
    <definedName name="PMSID_6609_1_F_D">'Tag 1'!$F$28</definedName>
    <definedName name="PMSID_6609_1_F_OV">Übersicht!$C$53</definedName>
    <definedName name="PMSID_6609_1_Name">'Tag 1'!$C$28</definedName>
    <definedName name="PMSID_6609_2_A_D">'Tag 2'!$D$28</definedName>
    <definedName name="PMSID_6609_2_A_OV">Übersicht!$D$52</definedName>
    <definedName name="PMSID_6609_2_B_D">'Tag 2'!$E$28</definedName>
    <definedName name="PMSID_6609_2_B_OV">Übersicht!$D$54</definedName>
    <definedName name="PMSID_6609_2_F_D">'Tag 2'!$F$28</definedName>
    <definedName name="PMSID_6609_2_F_OV">Übersicht!$D$53</definedName>
    <definedName name="PMSID_6609_2_Name">'Tag 2'!$C$28</definedName>
    <definedName name="PMSID_6609_3_A_D">'Tag 3'!$D$28</definedName>
    <definedName name="PMSID_6609_3_A_OV">Übersicht!$E$52</definedName>
    <definedName name="PMSID_6609_3_B_D">'Tag 3'!$E$28</definedName>
    <definedName name="PMSID_6609_3_B_OV">Übersicht!$E$54</definedName>
    <definedName name="PMSID_6609_3_F_D">'Tag 3'!$F$28</definedName>
    <definedName name="PMSID_6609_3_F_OV">Übersicht!$E$53</definedName>
    <definedName name="PMSID_6609_3_Name">'Tag 3'!$C$28</definedName>
    <definedName name="PMSID_6609_4_A_D">'Tag 4'!$D$28</definedName>
    <definedName name="PMSID_6609_4_A_OV">Übersicht!$F$52</definedName>
    <definedName name="PMSID_6609_4_B_D">'Tag 4'!$E$28</definedName>
    <definedName name="PMSID_6609_4_B_OV">Übersicht!$F$54</definedName>
    <definedName name="PMSID_6609_4_F_D">'Tag 4'!$F$28</definedName>
    <definedName name="PMSID_6609_4_F_OV">Übersicht!$F$53</definedName>
    <definedName name="PMSID_6609_4_Name">'Tag 4'!$C$28</definedName>
    <definedName name="PMSID_6610_1_A_D">'Tag 1'!$D$30</definedName>
    <definedName name="PMSID_6610_1_A_OV">Übersicht!$C$56</definedName>
    <definedName name="PMSID_6610_1_B_D">'Tag 1'!$E$30</definedName>
    <definedName name="PMSID_6610_1_B_OV">Übersicht!$C$58</definedName>
    <definedName name="PMSID_6610_1_F_D">'Tag 1'!$F$30</definedName>
    <definedName name="PMSID_6610_1_F_OV">Übersicht!$C$57</definedName>
    <definedName name="PMSID_6610_1_Name">'Tag 1'!$C$30</definedName>
    <definedName name="PMSID_6610_2_A_D">'Tag 2'!$D$30</definedName>
    <definedName name="PMSID_6610_2_A_OV">Übersicht!$D$56</definedName>
    <definedName name="PMSID_6610_2_B_D">'Tag 2'!$E$30</definedName>
    <definedName name="PMSID_6610_2_B_OV">Übersicht!$D$58</definedName>
    <definedName name="PMSID_6610_2_F_D">'Tag 2'!$F$30</definedName>
    <definedName name="PMSID_6610_2_F_OV">Übersicht!$D$57</definedName>
    <definedName name="PMSID_6610_2_Name">'Tag 2'!$C$30</definedName>
    <definedName name="PMSID_6610_3_A_D">'Tag 3'!$D$30</definedName>
    <definedName name="PMSID_6610_3_A_OV">Übersicht!$E$56</definedName>
    <definedName name="PMSID_6610_3_B_D">'Tag 3'!$E$30</definedName>
    <definedName name="PMSID_6610_3_B_OV">Übersicht!$E$58</definedName>
    <definedName name="PMSID_6610_3_F_D">'Tag 3'!$F$30</definedName>
    <definedName name="PMSID_6610_3_F_OV">Übersicht!$E$57</definedName>
    <definedName name="PMSID_6610_3_Name">'Tag 3'!$C$30</definedName>
    <definedName name="PMSID_6610_4_A_D">'Tag 4'!$D$30</definedName>
    <definedName name="PMSID_6610_4_A_OV">Übersicht!$F$56</definedName>
    <definedName name="PMSID_6610_4_B_D">'Tag 4'!$E$30</definedName>
    <definedName name="PMSID_6610_4_B_OV">Übersicht!$F$58</definedName>
    <definedName name="PMSID_6610_4_F_D">'Tag 4'!$F$30</definedName>
    <definedName name="PMSID_6610_4_F_OV">Übersicht!$F$57</definedName>
    <definedName name="PMSID_6610_4_Name">'Tag 4'!$C$30</definedName>
    <definedName name="PMSID_947_1_A_D">'Tag 1'!$D$15</definedName>
    <definedName name="PMSID_947_1_A_OV">Übersicht!$C$27</definedName>
    <definedName name="PMSID_947_1_B_D">'Tag 1'!$E$15</definedName>
    <definedName name="PMSID_947_1_B_OV">Übersicht!$C$29</definedName>
    <definedName name="PMSID_947_1_F_D">'Tag 1'!$F$15</definedName>
    <definedName name="PMSID_947_1_F_OV">Übersicht!$C$28</definedName>
    <definedName name="PMSID_947_1_Name">'Tag 1'!$C$15</definedName>
    <definedName name="PMSID_947_2_A_D">'Tag 2'!$D$15</definedName>
    <definedName name="PMSID_947_2_A_OV">Übersicht!$D$27</definedName>
    <definedName name="PMSID_947_2_B_D">'Tag 2'!$E$15</definedName>
    <definedName name="PMSID_947_2_B_OV">Übersicht!$D$29</definedName>
    <definedName name="PMSID_947_2_F_D">'Tag 2'!$F$15</definedName>
    <definedName name="PMSID_947_2_F_OV">Übersicht!$D$28</definedName>
    <definedName name="PMSID_947_2_Name">'Tag 2'!$C$15</definedName>
    <definedName name="PMSID_947_3_A_D">'Tag 3'!$D$15</definedName>
    <definedName name="PMSID_947_3_A_OV">Übersicht!$E$27</definedName>
    <definedName name="PMSID_947_3_B_D">'Tag 3'!$E$15</definedName>
    <definedName name="PMSID_947_3_B_OV">Übersicht!$E$29</definedName>
    <definedName name="PMSID_947_3_F_D">'Tag 3'!$F$15</definedName>
    <definedName name="PMSID_947_3_F_OV">Übersicht!$E$28</definedName>
    <definedName name="PMSID_947_3_Name">'Tag 3'!$C$15</definedName>
    <definedName name="PMSID_947_4_A_D">'Tag 4'!$D$15</definedName>
    <definedName name="PMSID_947_4_A_OV">Übersicht!$F$27</definedName>
    <definedName name="PMSID_947_4_B_D">'Tag 4'!$E$15</definedName>
    <definedName name="PMSID_947_4_B_OV">Übersicht!$F$29</definedName>
    <definedName name="PMSID_947_4_F_D">'Tag 4'!$F$15</definedName>
    <definedName name="PMSID_947_4_F_OV">Übersicht!$F$28</definedName>
    <definedName name="PMSID_947_4_Name">'Tag 4'!$C$15</definedName>
    <definedName name="PMSID_948_1_A_D">'Tag 1'!$D$17</definedName>
    <definedName name="PMSID_948_1_A_OV">Übersicht!$C$31</definedName>
    <definedName name="PMSID_948_1_B_D">'Tag 1'!$E$17</definedName>
    <definedName name="PMSID_948_1_B_OV">Übersicht!$C$33</definedName>
    <definedName name="PMSID_948_1_F_D">'Tag 1'!$F$17</definedName>
    <definedName name="PMSID_948_1_F_OV">Übersicht!$C$32</definedName>
    <definedName name="PMSID_948_1_Name">'Tag 1'!$C$17</definedName>
    <definedName name="PMSID_948_2_A_D">'Tag 2'!$D$17</definedName>
    <definedName name="PMSID_948_2_A_OV">Übersicht!$D$31</definedName>
    <definedName name="PMSID_948_2_B_D">'Tag 2'!$E$17</definedName>
    <definedName name="PMSID_948_2_B_OV">Übersicht!$D$33</definedName>
    <definedName name="PMSID_948_2_F_D">'Tag 2'!$F$17</definedName>
    <definedName name="PMSID_948_2_F_OV">Übersicht!$D$32</definedName>
    <definedName name="PMSID_948_2_Name">'Tag 2'!$C$17</definedName>
    <definedName name="PMSID_948_3_A_D">'Tag 3'!$D$17</definedName>
    <definedName name="PMSID_948_3_A_OV">Übersicht!$E$31</definedName>
    <definedName name="PMSID_948_3_B_D">'Tag 3'!$E$17</definedName>
    <definedName name="PMSID_948_3_B_OV">Übersicht!$E$33</definedName>
    <definedName name="PMSID_948_3_F_D">'Tag 3'!$F$17</definedName>
    <definedName name="PMSID_948_3_F_OV">Übersicht!$E$32</definedName>
    <definedName name="PMSID_948_3_Name">'Tag 3'!$C$17</definedName>
    <definedName name="PMSID_948_4_A_D">'Tag 4'!$D$17</definedName>
    <definedName name="PMSID_948_4_A_OV">Übersicht!$F$31</definedName>
    <definedName name="PMSID_948_4_B_D">'Tag 4'!$E$17</definedName>
    <definedName name="PMSID_948_4_B_OV">Übersicht!$F$33</definedName>
    <definedName name="PMSID_948_4_F_D">'Tag 4'!$F$17</definedName>
    <definedName name="PMSID_948_4_F_OV">Übersicht!$F$32</definedName>
    <definedName name="PMSID_948_4_Name">'Tag 4'!$C$17</definedName>
    <definedName name="_xlnm.Print_Area" localSheetId="2">'Tag 1'!$A$1:$L$45</definedName>
    <definedName name="_xlnm.Print_Area" localSheetId="3">'Tag 2'!$A$1:$L$45</definedName>
    <definedName name="_xlnm.Print_Area" localSheetId="4">'Tag 3'!$A$1:$L$45</definedName>
    <definedName name="_xlnm.Print_Area" localSheetId="5">'Tag 4'!$A$1:$L$45</definedName>
    <definedName name="_xlnm.Print_Area" localSheetId="0">Übersicht!$A$1:$K$87</definedName>
    <definedName name="_xlnm.Print_Titles" localSheetId="2">'Tag 1'!$1:$10</definedName>
    <definedName name="_xlnm.Print_Titles" localSheetId="3">'Tag 2'!$1:$10</definedName>
    <definedName name="_xlnm.Print_Titles" localSheetId="4">'Tag 3'!$1:$10</definedName>
    <definedName name="_xlnm.Print_Titles" localSheetId="5">'Tag 4'!$1:$10</definedName>
    <definedName name="_xlnm.Print_Titles" localSheetId="0">Übersicht!$1:$20</definedName>
    <definedName name="Protokollname">Übersicht!$B$1</definedName>
    <definedName name="Protokollrisiken">Übersicht!$C$9</definedName>
    <definedName name="SerumKreatinin_1">'Tag 1'!$D$5</definedName>
    <definedName name="SerumKreatinin_2">'Tag 2'!$D$5</definedName>
    <definedName name="SerumKreatinin_3">'Tag 3'!$D$5</definedName>
    <definedName name="SerumKreatinin_4">'Tag 4'!$D$5</definedName>
    <definedName name="SerumKreatininDatum_1">'Tag 1'!$F$5</definedName>
    <definedName name="SerumKreatininDatum_2">'Tag 2'!$F$5</definedName>
    <definedName name="SerumKreatininDatum_3">'Tag 3'!$F$5</definedName>
    <definedName name="SerumKreatininDatum_4">'Tag 4'!$F$5</definedName>
    <definedName name="sGFR">#REF!</definedName>
    <definedName name="sGFR_CG">#REF!</definedName>
    <definedName name="sGFR_CH" localSheetId="2">#REF!</definedName>
    <definedName name="sGFR_CH" localSheetId="3">#REF!</definedName>
    <definedName name="sGFR_CH" localSheetId="4">#REF!</definedName>
    <definedName name="sGFR_CH" localSheetId="5">#REF!</definedName>
    <definedName name="sGFR_CH">#REF!</definedName>
    <definedName name="sGFR_CKDEPI">#REF!</definedName>
    <definedName name="sGFR_J" localSheetId="2">#REF!</definedName>
    <definedName name="sGFR_J" localSheetId="3">#REF!</definedName>
    <definedName name="sGFR_J" localSheetId="4">#REF!</definedName>
    <definedName name="sGFR_J" localSheetId="5">#REF!</definedName>
    <definedName name="sGFR_J">#REF!</definedName>
    <definedName name="sGFR_NewModel">#REF!</definedName>
    <definedName name="Stadium">Übersicht!$G$3</definedName>
    <definedName name="Store">#REF!</definedName>
    <definedName name="Therapiebeginn">Übersicht!$C$7</definedName>
    <definedName name="TherapieGespeichert">#REF!</definedName>
    <definedName name="Therapiemodi" localSheetId="2">#REF!</definedName>
    <definedName name="Therapiemodi" localSheetId="3">#REF!</definedName>
    <definedName name="Therapiemodi" localSheetId="4">#REF!</definedName>
    <definedName name="Therapiemodi" localSheetId="5">#REF!</definedName>
    <definedName name="Therapiemodi">#REF!</definedName>
    <definedName name="Therapiemodus">Übersicht!$I$3</definedName>
    <definedName name="tplColorSonstigeTherapie">#REF!</definedName>
    <definedName name="tplDauermedikation">#REF!</definedName>
    <definedName name="tplDayHeader" localSheetId="2">'Tag 1'!$A$1:$L$5</definedName>
    <definedName name="tplDayHeader" localSheetId="3">'Tag 2'!$A$1:$L$5</definedName>
    <definedName name="tplDayHeader" localSheetId="4">'Tag 3'!$A$1:$L$5</definedName>
    <definedName name="tplDayHeader" localSheetId="5">'Tag 4'!$A$1:$L$5</definedName>
    <definedName name="tplDayHeader">#REF!</definedName>
    <definedName name="tplDayTableHeader" localSheetId="2">'Tag 1'!$B$9:$L$10</definedName>
    <definedName name="tplDayTableHeader" localSheetId="3">'Tag 2'!$B$9:$L$10</definedName>
    <definedName name="tplDayTableHeader" localSheetId="4">'Tag 3'!$B$9:$L$10</definedName>
    <definedName name="tplDayTableHeader" localSheetId="5">'Tag 4'!$B$9:$L$10</definedName>
    <definedName name="tplDayTableHeader">#REF!</definedName>
    <definedName name="tplDosierungsbemerkungen">#REF!</definedName>
    <definedName name="tplKontrolleHeader">#REF!</definedName>
    <definedName name="tplModuleRow" localSheetId="2">'Tag 1'!$B$11:$L$11</definedName>
    <definedName name="tplModuleRow" localSheetId="3">'Tag 2'!$B$11:$L$11</definedName>
    <definedName name="tplModuleRow" localSheetId="4">'Tag 3'!$B$11:$L$11</definedName>
    <definedName name="tplModuleRow" localSheetId="5">'Tag 4'!$B$11:$L$11</definedName>
    <definedName name="tplModuleRow">#REF!</definedName>
    <definedName name="tplOvDayHeader">#REF!</definedName>
    <definedName name="tplOvDayHeaderData">#REF!</definedName>
    <definedName name="tplOvModuleHead">#REF!</definedName>
    <definedName name="tplOvSubstanceData">#REF!</definedName>
    <definedName name="tplOvSubstanceHeader">#REF!</definedName>
    <definedName name="tplStrahlentherapie">#REF!</definedName>
    <definedName name="tplSubstanceRow" localSheetId="2">'Tag 1'!$B$12:$L$13</definedName>
    <definedName name="tplSubstanceRow" localSheetId="3">'Tag 2'!$B$12:$L$13</definedName>
    <definedName name="tplSubstanceRow" localSheetId="4">'Tag 3'!$B$12:$L$13</definedName>
    <definedName name="tplSubstanceRow" localSheetId="5">'Tag 4'!$B$12:$L$13</definedName>
    <definedName name="tplSubstanceRow">#REF!</definedName>
    <definedName name="tplZDHeader">#REF!</definedName>
    <definedName name="ZDRow_1">Zyklusdiagramm!$B$27</definedName>
    <definedName name="ZDRow_11533">Zyklusdiagramm!$B$17</definedName>
    <definedName name="ZDRow_2">Zyklusdiagramm!$B$28</definedName>
    <definedName name="ZDRow_2339">Zyklusdiagramm!$B$25</definedName>
    <definedName name="ZDRow_2435">Zyklusdiagramm!$B$13</definedName>
    <definedName name="ZDRow_3">Zyklusdiagramm!$B$29</definedName>
    <definedName name="ZDRow_4">Zyklusdiagramm!$B$30</definedName>
    <definedName name="ZDRow_6606">Zyklusdiagramm!$B$20</definedName>
    <definedName name="ZDRow_6607">Zyklusdiagramm!$B$21</definedName>
    <definedName name="ZDRow_6608">Zyklusdiagramm!$B$19</definedName>
    <definedName name="ZDRow_6609">Zyklusdiagramm!$B$22</definedName>
    <definedName name="ZDRow_6610">Zyklusdiagramm!$B$23</definedName>
    <definedName name="ZDRow_947">Zyklusdiagramm!$B$15</definedName>
    <definedName name="ZDRow_948">Zyklusdiagramm!$B$16</definedName>
    <definedName name="ZyklusDiagrammTL">Zyklusdiagramm!$B$10</definedName>
    <definedName name="Zyklusende">Übersicht!$G$7</definedName>
    <definedName name="Zyklusnummer">Übersicht!$C$6</definedName>
  </definedNames>
  <calcPr calcId="162913"/>
</workbook>
</file>

<file path=xl/calcChain.xml><?xml version="1.0" encoding="utf-8"?>
<calcChain xmlns="http://schemas.openxmlformats.org/spreadsheetml/2006/main">
  <c r="D12" i="11" l="1"/>
  <c r="E12" i="11" s="1"/>
  <c r="F12" i="11" s="1"/>
  <c r="G12" i="11" s="1"/>
  <c r="H12" i="11" s="1"/>
  <c r="I12" i="11" s="1"/>
  <c r="C10" i="11" s="1"/>
  <c r="F35" i="1"/>
  <c r="F31" i="1"/>
  <c r="C20" i="1"/>
  <c r="D20" i="1" s="1"/>
  <c r="D42" i="113"/>
  <c r="F78" i="1" s="1"/>
  <c r="D40" i="113"/>
  <c r="F74" i="1" s="1"/>
  <c r="D38" i="113"/>
  <c r="F70" i="1" s="1"/>
  <c r="D36" i="113"/>
  <c r="F66" i="1" s="1"/>
  <c r="D33" i="113"/>
  <c r="F61" i="1" s="1"/>
  <c r="D19" i="113"/>
  <c r="D17" i="113"/>
  <c r="D15" i="113"/>
  <c r="F27" i="1" s="1"/>
  <c r="D12" i="113"/>
  <c r="F22" i="1" s="1"/>
  <c r="H9" i="113"/>
  <c r="J6" i="113"/>
  <c r="H6" i="113"/>
  <c r="F6" i="113"/>
  <c r="D6" i="113"/>
  <c r="L5" i="113"/>
  <c r="J5" i="113"/>
  <c r="L4" i="113"/>
  <c r="J4" i="113"/>
  <c r="L3" i="113"/>
  <c r="J3" i="113"/>
  <c r="H3" i="113"/>
  <c r="D3" i="113"/>
  <c r="L2" i="113"/>
  <c r="J2" i="113"/>
  <c r="H2" i="113"/>
  <c r="B2" i="113"/>
  <c r="L1" i="113"/>
  <c r="B1" i="113"/>
  <c r="D42" i="112"/>
  <c r="E78" i="1" s="1"/>
  <c r="D40" i="112"/>
  <c r="E74" i="1" s="1"/>
  <c r="D38" i="112"/>
  <c r="E70" i="1" s="1"/>
  <c r="D36" i="112"/>
  <c r="E66" i="1" s="1"/>
  <c r="D33" i="112"/>
  <c r="E61" i="1" s="1"/>
  <c r="D19" i="112"/>
  <c r="E35" i="1" s="1"/>
  <c r="D17" i="112"/>
  <c r="E31" i="1" s="1"/>
  <c r="D15" i="112"/>
  <c r="E27" i="1" s="1"/>
  <c r="D12" i="112"/>
  <c r="E22" i="1" s="1"/>
  <c r="H9" i="112"/>
  <c r="J6" i="112"/>
  <c r="H6" i="112"/>
  <c r="F6" i="112"/>
  <c r="D6" i="112"/>
  <c r="L5" i="112"/>
  <c r="J5" i="112"/>
  <c r="L4" i="112"/>
  <c r="J4" i="112"/>
  <c r="L3" i="112"/>
  <c r="J3" i="112"/>
  <c r="H3" i="112"/>
  <c r="D3" i="112"/>
  <c r="L2" i="112"/>
  <c r="J2" i="112"/>
  <c r="H2" i="112"/>
  <c r="B2" i="112"/>
  <c r="L1" i="112"/>
  <c r="B1" i="112"/>
  <c r="D42" i="111"/>
  <c r="D78" i="1" s="1"/>
  <c r="D40" i="111"/>
  <c r="D74" i="1" s="1"/>
  <c r="D38" i="111"/>
  <c r="D70" i="1" s="1"/>
  <c r="D36" i="111"/>
  <c r="D66" i="1" s="1"/>
  <c r="D33" i="111"/>
  <c r="D61" i="1" s="1"/>
  <c r="D19" i="111"/>
  <c r="D35" i="1" s="1"/>
  <c r="D17" i="111"/>
  <c r="D31" i="1" s="1"/>
  <c r="D15" i="111"/>
  <c r="D27" i="1" s="1"/>
  <c r="D12" i="111"/>
  <c r="D22" i="1" s="1"/>
  <c r="H9" i="111"/>
  <c r="J6" i="111"/>
  <c r="H6" i="111"/>
  <c r="F6" i="111"/>
  <c r="D6" i="111"/>
  <c r="L5" i="111"/>
  <c r="J5" i="111"/>
  <c r="L4" i="111"/>
  <c r="J4" i="111"/>
  <c r="L3" i="111"/>
  <c r="J3" i="111"/>
  <c r="H3" i="111"/>
  <c r="D3" i="111"/>
  <c r="L2" i="111"/>
  <c r="J2" i="111"/>
  <c r="H2" i="111"/>
  <c r="B2" i="111"/>
  <c r="L1" i="111"/>
  <c r="B1" i="111"/>
  <c r="D42" i="110"/>
  <c r="C78" i="1" s="1"/>
  <c r="D40" i="110"/>
  <c r="C74" i="1" s="1"/>
  <c r="D38" i="110"/>
  <c r="C70" i="1" s="1"/>
  <c r="D36" i="110"/>
  <c r="C66" i="1" s="1"/>
  <c r="D33" i="110"/>
  <c r="C61" i="1" s="1"/>
  <c r="D19" i="110"/>
  <c r="C35" i="1" s="1"/>
  <c r="D17" i="110"/>
  <c r="C31" i="1" s="1"/>
  <c r="D15" i="110"/>
  <c r="C27" i="1" s="1"/>
  <c r="D12" i="110"/>
  <c r="C22" i="1" s="1"/>
  <c r="H9" i="110"/>
  <c r="J6" i="110"/>
  <c r="H6" i="110"/>
  <c r="F6" i="110"/>
  <c r="D6" i="110"/>
  <c r="L5" i="110"/>
  <c r="J5" i="110"/>
  <c r="F5" i="110"/>
  <c r="F5" i="111" s="1"/>
  <c r="F5" i="112" s="1"/>
  <c r="F5" i="113" s="1"/>
  <c r="D5" i="110"/>
  <c r="D5" i="111" s="1"/>
  <c r="D5" i="112" s="1"/>
  <c r="D5" i="113" s="1"/>
  <c r="L4" i="110"/>
  <c r="J4" i="110"/>
  <c r="F4" i="110"/>
  <c r="D4" i="110"/>
  <c r="D4" i="111" s="1"/>
  <c r="D4" i="112" s="1"/>
  <c r="D4" i="113" s="1"/>
  <c r="L3" i="110"/>
  <c r="J3" i="110"/>
  <c r="H3" i="110"/>
  <c r="D3" i="110"/>
  <c r="L2" i="110"/>
  <c r="J2" i="110"/>
  <c r="H2" i="110"/>
  <c r="B2" i="110"/>
  <c r="L1" i="110"/>
  <c r="B1" i="110"/>
  <c r="C17" i="1"/>
  <c r="G5" i="112"/>
  <c r="G5" i="113"/>
  <c r="G5" i="110"/>
  <c r="G5" i="111"/>
  <c r="H4" i="110" l="1"/>
  <c r="D28" i="110" s="1"/>
  <c r="C52" i="1" s="1"/>
  <c r="D9" i="110"/>
  <c r="D11" i="11"/>
  <c r="D9" i="111"/>
  <c r="E20" i="1"/>
  <c r="C11" i="11"/>
  <c r="F4" i="111"/>
  <c r="D24" i="110" l="1"/>
  <c r="C44" i="1" s="1"/>
  <c r="D26" i="110"/>
  <c r="C48" i="1" s="1"/>
  <c r="D30" i="110"/>
  <c r="C56" i="1" s="1"/>
  <c r="D22" i="110"/>
  <c r="C40" i="1" s="1"/>
  <c r="D7" i="112"/>
  <c r="D7" i="110"/>
  <c r="D7" i="111"/>
  <c r="D7" i="113"/>
  <c r="H4" i="111"/>
  <c r="F4" i="112"/>
  <c r="E11" i="11"/>
  <c r="D9" i="112"/>
  <c r="F20" i="1"/>
  <c r="F11" i="11" l="1"/>
  <c r="G11" i="11" s="1"/>
  <c r="H11" i="11" s="1"/>
  <c r="I11" i="11" s="1"/>
  <c r="D9" i="113"/>
  <c r="F4" i="113"/>
  <c r="H4" i="113" s="1"/>
  <c r="H4" i="112"/>
  <c r="D22" i="111"/>
  <c r="D40" i="1" s="1"/>
  <c r="D30" i="111"/>
  <c r="D56" i="1" s="1"/>
  <c r="D28" i="111"/>
  <c r="D52" i="1" s="1"/>
  <c r="D26" i="111"/>
  <c r="D48" i="1" s="1"/>
  <c r="D24" i="111"/>
  <c r="D44" i="1" s="1"/>
  <c r="D30" i="112" l="1"/>
  <c r="E56" i="1" s="1"/>
  <c r="D28" i="112"/>
  <c r="E52" i="1" s="1"/>
  <c r="D26" i="112"/>
  <c r="E48" i="1" s="1"/>
  <c r="D24" i="112"/>
  <c r="E44" i="1" s="1"/>
  <c r="D22" i="112"/>
  <c r="E40" i="1" s="1"/>
  <c r="D28" i="113"/>
  <c r="F52" i="1" s="1"/>
  <c r="D24" i="113"/>
  <c r="F44" i="1" s="1"/>
  <c r="D22" i="113"/>
  <c r="F40" i="1" s="1"/>
  <c r="D30" i="113"/>
  <c r="F56" i="1" s="1"/>
  <c r="D26" i="113"/>
  <c r="F48" i="1" s="1"/>
  <c r="K7" i="1" l="1"/>
  <c r="L6" i="112" l="1"/>
  <c r="L6" i="110"/>
  <c r="L6" i="111"/>
  <c r="L6" i="113"/>
  <c r="F5" i="11"/>
  <c r="F5" i="1"/>
  <c r="B2" i="11" l="1"/>
  <c r="G7" i="1" l="1"/>
  <c r="AA6" i="11" l="1"/>
  <c r="R6" i="11"/>
  <c r="J6" i="11"/>
  <c r="C6" i="11"/>
  <c r="AA5" i="11"/>
  <c r="R5" i="11"/>
  <c r="C5" i="11"/>
  <c r="AJ4" i="11"/>
  <c r="AA4" i="11"/>
  <c r="J4" i="11"/>
  <c r="C4" i="11"/>
  <c r="AJ3" i="11"/>
  <c r="AA3" i="11"/>
  <c r="R3" i="11"/>
  <c r="C3" i="11"/>
  <c r="AJ2" i="11"/>
  <c r="AA2" i="11"/>
  <c r="R2" i="11"/>
  <c r="AM1" i="11"/>
  <c r="B1" i="11"/>
  <c r="H6" i="1"/>
  <c r="G4" i="1"/>
  <c r="R4" i="11" s="1"/>
  <c r="I2" i="1"/>
  <c r="K1" i="1"/>
  <c r="H5" i="110"/>
  <c r="H5" i="112"/>
  <c r="H5" i="111"/>
  <c r="H5" i="113"/>
  <c r="G5" i="1"/>
  <c r="C7" i="11" l="1"/>
  <c r="AJ6" i="11"/>
  <c r="J5" i="11"/>
</calcChain>
</file>

<file path=xl/comments1.xml><?xml version="1.0" encoding="utf-8"?>
<comments xmlns="http://schemas.openxmlformats.org/spreadsheetml/2006/main">
  <authors>
    <author>Wickenkamp, Axel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Datum des Kreatinin-Werts TT.MM.JJJ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Hinweis:
</t>
        </r>
        <r>
          <rPr>
            <sz val="9"/>
            <color indexed="81"/>
            <rFont val="Tahoma"/>
            <family val="2"/>
          </rPr>
          <t>Datum TT.MM.JJJJ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Gesamtzykluszahl beachten!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oder vergleichbare isotone kristalloide Elektrolytlösung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oder anderer 5-HT3-Antagonist</t>
        </r>
      </text>
    </comment>
    <comment ref="B48" authorId="0" shapeId="0">
      <text>
        <r>
          <rPr>
            <sz val="9"/>
            <color indexed="81"/>
            <rFont val="Tahoma"/>
            <family val="2"/>
          </rPr>
          <t>Irinotecan wird 30 Minuten nach Beginn der Folinsäure-Infusion parallel zur Folinsäure verabreicht.</t>
        </r>
      </text>
    </comment>
    <comment ref="B52" authorId="0" shapeId="0">
      <text>
        <r>
          <rPr>
            <sz val="9"/>
            <color indexed="81"/>
            <rFont val="Tahoma"/>
            <family val="2"/>
          </rPr>
          <t>Bolus-Applikation</t>
        </r>
      </text>
    </comment>
    <comment ref="B56" authorId="0" shapeId="0">
      <text>
        <r>
          <rPr>
            <sz val="9"/>
            <color indexed="81"/>
            <rFont val="Tahoma"/>
            <family val="2"/>
          </rPr>
          <t>Das Volumen der Trägerlösung bezieht sich auf die stationäre Therapie mit Infusionspumpen. Bei der Verwendung von Spritzenpumpen oder ambulanten Systemen kann ein anderes Volumen (z. B. 100 ml) verwendet werden.</t>
        </r>
      </text>
    </comment>
    <comment ref="B61" authorId="0" shapeId="0">
      <text>
        <r>
          <rPr>
            <sz val="9"/>
            <color indexed="81"/>
            <rFont val="Tahoma"/>
            <family val="2"/>
          </rPr>
          <t>Anwendung bei Risiko: FN 10-20% und 1 Risikofaktor, anderes langwirksames G-CSF möglich</t>
        </r>
      </text>
    </comment>
  </commentList>
</comments>
</file>

<file path=xl/comments2.xml><?xml version="1.0" encoding="utf-8"?>
<comments xmlns="http://schemas.openxmlformats.org/spreadsheetml/2006/main">
  <authors>
    <author>Wickenkamp, Axel</author>
  </authors>
  <commentList>
    <comment ref="AJ6" authorId="0" shapeId="0">
      <text>
        <r>
          <rPr>
            <sz val="9"/>
            <color indexed="81"/>
            <rFont val="Tahoma"/>
            <family val="2"/>
          </rPr>
          <t>Gesamtzykluszahl beachten!</t>
        </r>
      </text>
    </comment>
  </commentList>
</comments>
</file>

<file path=xl/comments3.xml><?xml version="1.0" encoding="utf-8"?>
<comments xmlns="http://schemas.openxmlformats.org/spreadsheetml/2006/main">
  <authors>
    <author>Wickenkamp, Axel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Datum der Kreatinin-Messung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Gesamtzykluszahl beachten!</t>
        </r>
      </text>
    </comment>
    <comment ref="D9" authorId="0" shapeId="0">
      <text>
        <r>
          <rPr>
            <sz val="9"/>
            <color indexed="81"/>
            <rFont val="Tahoma"/>
            <charset val="1"/>
          </rPr>
          <t>Ändern Sie den ersten Zyklustag in der Übersicht.</t>
        </r>
      </text>
    </comment>
  </commentList>
</comments>
</file>

<file path=xl/comments4.xml><?xml version="1.0" encoding="utf-8"?>
<comments xmlns="http://schemas.openxmlformats.org/spreadsheetml/2006/main">
  <authors>
    <author>Wickenkamp, Axel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Datum der Kreatinin-Messung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Gesamtzykluszahl beachten!</t>
        </r>
      </text>
    </comment>
  </commentList>
</comments>
</file>

<file path=xl/comments5.xml><?xml version="1.0" encoding="utf-8"?>
<comments xmlns="http://schemas.openxmlformats.org/spreadsheetml/2006/main">
  <authors>
    <author>Wickenkamp, Axel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Datum der Kreatinin-Messung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Gesamtzykluszahl beachten!</t>
        </r>
      </text>
    </comment>
  </commentList>
</comments>
</file>

<file path=xl/comments6.xml><?xml version="1.0" encoding="utf-8"?>
<comments xmlns="http://schemas.openxmlformats.org/spreadsheetml/2006/main">
  <authors>
    <author>Wickenkamp, Axel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Datum der Kreatinin-Messung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Gesamtzykluszahl beachten!</t>
        </r>
      </text>
    </comment>
  </commentList>
</comments>
</file>

<file path=xl/sharedStrings.xml><?xml version="1.0" encoding="utf-8"?>
<sst xmlns="http://schemas.openxmlformats.org/spreadsheetml/2006/main" count="613" uniqueCount="135">
  <si>
    <t>Uhrzeit:</t>
  </si>
  <si>
    <t>Herkunft</t>
  </si>
  <si>
    <t>Kontrollen</t>
  </si>
  <si>
    <t>Hinweise</t>
  </si>
  <si>
    <t>Literatur</t>
  </si>
  <si>
    <t>Geschlecht</t>
  </si>
  <si>
    <t>Diagnose</t>
  </si>
  <si>
    <t>Stadium</t>
  </si>
  <si>
    <t>Pat-ID</t>
  </si>
  <si>
    <t>Auftragsnummer</t>
  </si>
  <si>
    <t>Dosis, Einheit</t>
  </si>
  <si>
    <t>Medikament, Substanz</t>
  </si>
  <si>
    <t>normale Dosierung</t>
  </si>
  <si>
    <t>Trägerlsg. Volumen</t>
  </si>
  <si>
    <t>Appl. Art</t>
  </si>
  <si>
    <t>Dauer</t>
  </si>
  <si>
    <t>Ablauf</t>
  </si>
  <si>
    <t>Therapiedatum</t>
  </si>
  <si>
    <t>Zyklustag:</t>
  </si>
  <si>
    <t>von</t>
  </si>
  <si>
    <t>Indikationen</t>
  </si>
  <si>
    <t>Klassifikation</t>
  </si>
  <si>
    <t>% Dosis</t>
  </si>
  <si>
    <t>Risiken</t>
  </si>
  <si>
    <t>geb.:</t>
  </si>
  <si>
    <t>Zyklusende</t>
  </si>
  <si>
    <t>Intervalltage</t>
  </si>
  <si>
    <t>nächster Zyklus</t>
  </si>
  <si>
    <t>Anzahl Zyklen</t>
  </si>
  <si>
    <t xml:space="preserve">Zyklus: </t>
  </si>
  <si>
    <t>Dosierungsbemerkungen</t>
  </si>
  <si>
    <t>i.v.</t>
  </si>
  <si>
    <t>p.o.</t>
  </si>
  <si>
    <t>s.c.</t>
  </si>
  <si>
    <t>mg</t>
  </si>
  <si>
    <t>Größe</t>
  </si>
  <si>
    <t>Serum-Kreatinin</t>
  </si>
  <si>
    <t>erster Zyklus</t>
  </si>
  <si>
    <t>Gewicht</t>
  </si>
  <si>
    <t>KOF</t>
  </si>
  <si>
    <t>Infusionsarm</t>
  </si>
  <si>
    <t>Port</t>
  </si>
  <si>
    <t>Erstdiagnose</t>
  </si>
  <si>
    <t>Datum</t>
  </si>
  <si>
    <t>Therapiemodus</t>
  </si>
  <si>
    <t>Zyklus Nr.</t>
  </si>
  <si>
    <t>geb.</t>
  </si>
  <si>
    <t>Auftragsnr.</t>
  </si>
  <si>
    <t>Zyklus Nr</t>
  </si>
  <si>
    <t>Alter</t>
  </si>
  <si>
    <t>Empfehlungen</t>
  </si>
  <si>
    <t>Tag</t>
  </si>
  <si>
    <t>Dateipfad</t>
  </si>
  <si>
    <t>-</t>
  </si>
  <si>
    <t>Hdz. Arzt
Uhrzeit</t>
  </si>
  <si>
    <t>% Anteil Normaldosis</t>
  </si>
  <si>
    <t>[Substanznamen eingeben]</t>
  </si>
  <si>
    <t>Entwurf</t>
  </si>
  <si>
    <t>erster Tag</t>
  </si>
  <si>
    <t>Flüssigkeitszufuhr: Jonosteril</t>
  </si>
  <si>
    <t>Zugangsart: peripher venös</t>
  </si>
  <si>
    <t>Jonosteril</t>
  </si>
  <si>
    <t>60 min vor Oxaliplatin (d1)</t>
  </si>
  <si>
    <t>60 min</t>
  </si>
  <si>
    <t>Antiemese: Emetogenität moderat, GRAN i.v., DEXA i.v.</t>
  </si>
  <si>
    <t>Dexamethason</t>
  </si>
  <si>
    <t>NaCl 0,9%, 50 ml</t>
  </si>
  <si>
    <t>30 min vor Oxaliplatin (d1)</t>
  </si>
  <si>
    <t>5 min</t>
  </si>
  <si>
    <t>Granisetron</t>
  </si>
  <si>
    <t>15 min vor Oxaliplatin (d1)</t>
  </si>
  <si>
    <t>1-0-0-0</t>
  </si>
  <si>
    <t>0 min</t>
  </si>
  <si>
    <t>Medikamentöse Tumortherapie: FolFIrinOx</t>
  </si>
  <si>
    <t>Zugangsart: zentral venös</t>
  </si>
  <si>
    <t>Oxaliplatin</t>
  </si>
  <si>
    <t>Glucose 5%, 500 ml</t>
  </si>
  <si>
    <t>Reihenfolge</t>
  </si>
  <si>
    <t>2 h</t>
  </si>
  <si>
    <t>Folinsäure</t>
  </si>
  <si>
    <t>NaCl 0,9%, 250 ml</t>
  </si>
  <si>
    <t>Irinotecan</t>
  </si>
  <si>
    <t>90 min vor Fluorouracil (d1)</t>
  </si>
  <si>
    <t>90 min</t>
  </si>
  <si>
    <t>Fluorouracil</t>
  </si>
  <si>
    <t>1 min</t>
  </si>
  <si>
    <t>NaCl 0,9%, 500 ml</t>
  </si>
  <si>
    <t>46 h</t>
  </si>
  <si>
    <t>Hämatopoetische Wachstumsfaktoren: FN-Risiko 10-20%, G-CSF langwirksam, pegyliert</t>
  </si>
  <si>
    <t>Zugangsart: - entfällt -</t>
  </si>
  <si>
    <t>Pegfilgrastim</t>
  </si>
  <si>
    <t>24 h nach Fluorouracil (d1)</t>
  </si>
  <si>
    <t xml:space="preserve">Sonstige Therapie: </t>
  </si>
  <si>
    <t>Zugangsart: Keine Angabe</t>
  </si>
  <si>
    <t/>
  </si>
  <si>
    <t>Erstlinie</t>
  </si>
  <si>
    <t>FOLFIRINOX - Oxaliplatin 85 / Folinsäure 400 / Irinotecan 180 / Fluorouracil 2400, metastasiertes Pankreaskarzinom (PID=47 V1.2)</t>
  </si>
  <si>
    <t>Jonosteril (i.v.)</t>
  </si>
  <si>
    <t>Dexamethason (i.v.)</t>
  </si>
  <si>
    <t>Granisetron (i.v.)</t>
  </si>
  <si>
    <t>Dexamethason (p.o., 1-0-0-0)</t>
  </si>
  <si>
    <t>Oxaliplatin (i.v.)</t>
  </si>
  <si>
    <t>Folinsäure (i.v.)</t>
  </si>
  <si>
    <t>Irinotecan (i.v.)</t>
  </si>
  <si>
    <t>Fluorouracil (i.v.)</t>
  </si>
  <si>
    <t>Pegfilgrastim (s.c.)</t>
  </si>
  <si>
    <t>vor Therapiebeginn: DPD</t>
  </si>
  <si>
    <t>Tag 1: Anamnese und klin. Untersuchung bzgl. Neuropathie</t>
  </si>
  <si>
    <t>Tag 1: GOT, GPT, GGT, Bilirubin, AP, Cholinesterase</t>
  </si>
  <si>
    <t>Tag 1: Kreatinin, kalkulierte GFR</t>
  </si>
  <si>
    <t>Blutbild: an Tag 1 und in Folge wöchentlich</t>
  </si>
  <si>
    <t>alternativ; Intensität: Standard-Dosis; Modus: Erstlinie; Intention: palliativ</t>
  </si>
  <si>
    <t>Pankreaskarzinom</t>
  </si>
  <si>
    <t>Kooperation: Groupe Tumeurs Digestives of Unicancer and the PRODIGE Intergroup; ursprünglicher Autor: Conroy, Thierry</t>
  </si>
  <si>
    <t>Conroy T, N Engl J Med. 2011, 364:1817-25</t>
  </si>
  <si>
    <t xml:space="preserve">Conroy T, Journal of Clinical Oncology; 23;1228-1236; </t>
  </si>
  <si>
    <t>Ducreux M, Ann Oncol 2015 Sep;26 Suppl 5:v56-68</t>
  </si>
  <si>
    <t>Onkopedia, DKG, ESMO, DGVS, NCCN</t>
  </si>
  <si>
    <t>Emetogenität (MASCC/ESMO): moderat (30% - 90%); Neutropenie: sehr hoch (&gt; 41%, Grad 3 und 4; 42,5% mit G-CSF); febrile Neutropenie: mittel (10% - 20%, Grad 3 und 4; 1 Todesfall, 42,5% mit G-CSF); Thrombozytopenie unter 50 000/µl: gering (&lt; 10%); Anämie Hb unter 8g/dl: moderat (6% - 15%); Diarrhoe: CTC AE (°3-4: 12,7%); Abgeschlagenheit: CTC AE (°3-4: 23,6%); Erbrechen: CTC AE (°3-4: 14,5%); Neuropathie: CTC AE (°3-4: 9,0%); Embolie: CTC AE (°3-4:  6,6%); Erhöhung Aminotransferasen: CTC AE (°3-4: 7,3%)</t>
  </si>
  <si>
    <t>Flüssigkeitszufuhr</t>
  </si>
  <si>
    <t>Antiemese</t>
  </si>
  <si>
    <t>Medikamentöse Tumortherapie</t>
  </si>
  <si>
    <t>Hämatopoetische Wachstumsfaktoren</t>
  </si>
  <si>
    <t>Sonstige Therapie</t>
  </si>
  <si>
    <t>oder vergleichbare isotone kristalloide Elektrolytlösung</t>
  </si>
  <si>
    <t>oder anderer 5-HT3-Antagonist</t>
  </si>
  <si>
    <t>Irinotecan wird 30 Minuten nach Beginn der Folinsäure-Infusion parallel zur Folinsäure verabreicht.</t>
  </si>
  <si>
    <t>Bolus-Applikation</t>
  </si>
  <si>
    <t>Das Volumen der Trägerlösung bezieht sich auf die stationäre Therapie mit Infusionspumpen. Bei der Verwendung von Spritzenpumpen oder ambulanten Systemen kann ein anderes Volumen (z. B. 100 ml) verwendet werden.</t>
  </si>
  <si>
    <t>Anwendung bei Risiko: FN 10-20% und 1 Risikofaktor, anderes langwirksames G-CSF möglich</t>
  </si>
  <si>
    <t>ggf. Fortführung der Fluorouracil-Infusion von Tag 1 (Dauer:46 h)</t>
  </si>
  <si>
    <t>Doe, John</t>
  </si>
  <si>
    <t>m</t>
  </si>
  <si>
    <t>IV</t>
  </si>
  <si>
    <t>rechts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</si>
</sst>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0.0"/>
    <numFmt numFmtId="165" formatCode="d/m/yyyy;@"/>
    <numFmt numFmtId="166" formatCode="#\ &quot;Jahre&quot;"/>
    <numFmt numFmtId="167" formatCode="0.00\ &quot;mg/dl&quot;"/>
    <numFmt numFmtId="168" formatCode="#,##0.00\ &quot;mg/dl&quot;"/>
    <numFmt numFmtId="169" formatCode="0.0\ &quot;ml/min&quot;"/>
    <numFmt numFmtId="170" formatCode="ddd\ dd/mm/yyyy"/>
    <numFmt numFmtId="171" formatCode="ddd"/>
    <numFmt numFmtId="172" formatCode="0\ &quot;cm&quot;"/>
    <numFmt numFmtId="173" formatCode="0\ &quot;kg&quot;"/>
    <numFmt numFmtId="174" formatCode="0.00\ &quot;m²&quot;"/>
    <numFmt numFmtId="175" formatCode="0.00\ &quot;ml/min&quot;"/>
    <numFmt numFmtId="176" formatCode="ddd\ dd\.mm\.yyyy"/>
    <numFmt numFmtId="177" formatCode="0\ &quot;ml&quot;"/>
    <numFmt numFmtId="178" formatCode="0.00\ &quot;mg&quot;"/>
    <numFmt numFmtId="179" formatCode="0\ &quot;mg/m² KOF&quot;"/>
    <numFmt numFmtId="180" formatCode="0\ &quot;mg&quot;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rgb="FF333333"/>
      <name val="Courier New"/>
      <family val="3"/>
    </font>
    <font>
      <sz val="8"/>
      <color theme="1" tint="0.499984740745262"/>
      <name val="Arial"/>
      <family val="2"/>
    </font>
    <font>
      <b/>
      <sz val="10"/>
      <color rgb="FFC00000"/>
      <name val="Arial Narrow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charset val="1"/>
    </font>
    <font>
      <b/>
      <u/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0533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BABA"/>
        <bgColor indexed="64"/>
      </patternFill>
    </fill>
    <fill>
      <patternFill patternType="solid">
        <fgColor rgb="FFFFDBB3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80808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3" fillId="2" borderId="0" xfId="0" applyFont="1" applyFill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</xf>
    <xf numFmtId="174" fontId="7" fillId="3" borderId="9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/>
    <xf numFmtId="166" fontId="1" fillId="3" borderId="9" xfId="0" applyNumberFormat="1" applyFont="1" applyFill="1" applyBorder="1" applyAlignment="1" applyProtection="1">
      <alignment horizontal="right"/>
    </xf>
    <xf numFmtId="172" fontId="7" fillId="0" borderId="14" xfId="0" applyNumberFormat="1" applyFont="1" applyFill="1" applyBorder="1" applyProtection="1"/>
    <xf numFmtId="166" fontId="15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/>
    <xf numFmtId="165" fontId="0" fillId="0" borderId="0" xfId="0" applyNumberFormat="1" applyFill="1" applyBorder="1" applyAlignment="1" applyProtection="1"/>
    <xf numFmtId="0" fontId="2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175" fontId="0" fillId="3" borderId="9" xfId="0" applyNumberFormat="1" applyFill="1" applyBorder="1" applyAlignment="1" applyProtection="1">
      <alignment horizontal="right"/>
    </xf>
    <xf numFmtId="0" fontId="3" fillId="8" borderId="0" xfId="0" applyFont="1" applyFill="1" applyAlignment="1" applyProtection="1">
      <alignment horizontal="right"/>
    </xf>
    <xf numFmtId="172" fontId="7" fillId="3" borderId="14" xfId="0" applyNumberFormat="1" applyFont="1" applyFill="1" applyBorder="1" applyProtection="1"/>
    <xf numFmtId="173" fontId="7" fillId="3" borderId="9" xfId="0" applyNumberFormat="1" applyFont="1" applyFill="1" applyBorder="1" applyProtection="1"/>
    <xf numFmtId="14" fontId="1" fillId="3" borderId="9" xfId="0" applyNumberFormat="1" applyFont="1" applyFill="1" applyBorder="1" applyProtection="1"/>
    <xf numFmtId="0" fontId="0" fillId="3" borderId="9" xfId="0" applyFill="1" applyBorder="1" applyAlignment="1" applyProtection="1">
      <alignment horizontal="right"/>
    </xf>
    <xf numFmtId="14" fontId="0" fillId="3" borderId="9" xfId="0" applyNumberFormat="1" applyFill="1" applyBorder="1" applyProtection="1"/>
    <xf numFmtId="0" fontId="21" fillId="0" borderId="0" xfId="0" applyFont="1" applyProtection="1"/>
    <xf numFmtId="0" fontId="6" fillId="0" borderId="11" xfId="0" applyFont="1" applyBorder="1" applyAlignment="1" applyProtection="1">
      <alignment horizontal="left"/>
    </xf>
    <xf numFmtId="0" fontId="0" fillId="3" borderId="9" xfId="0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165" fontId="0" fillId="0" borderId="0" xfId="0" applyNumberFormat="1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/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0" fillId="0" borderId="0" xfId="0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176" fontId="8" fillId="5" borderId="17" xfId="0" applyNumberFormat="1" applyFont="1" applyFill="1" applyBorder="1" applyAlignment="1" applyProtection="1">
      <alignment horizontal="right"/>
    </xf>
    <xf numFmtId="177" fontId="6" fillId="0" borderId="11" xfId="0" applyNumberFormat="1" applyFont="1" applyFill="1" applyBorder="1" applyAlignment="1" applyProtection="1">
      <alignment horizontal="left"/>
    </xf>
    <xf numFmtId="178" fontId="6" fillId="0" borderId="11" xfId="0" applyNumberFormat="1" applyFont="1" applyFill="1" applyBorder="1" applyAlignment="1" applyProtection="1">
      <alignment horizontal="left"/>
    </xf>
    <xf numFmtId="179" fontId="6" fillId="0" borderId="11" xfId="0" applyNumberFormat="1" applyFont="1" applyFill="1" applyBorder="1" applyAlignment="1" applyProtection="1">
      <alignment horizontal="left"/>
    </xf>
    <xf numFmtId="178" fontId="3" fillId="0" borderId="11" xfId="0" applyNumberFormat="1" applyFont="1" applyFill="1" applyBorder="1" applyAlignment="1" applyProtection="1">
      <alignment horizontal="left"/>
    </xf>
    <xf numFmtId="170" fontId="3" fillId="0" borderId="19" xfId="0" applyNumberFormat="1" applyFont="1" applyBorder="1" applyProtection="1"/>
    <xf numFmtId="177" fontId="9" fillId="0" borderId="15" xfId="0" applyNumberFormat="1" applyFont="1" applyFill="1" applyBorder="1" applyAlignment="1" applyProtection="1">
      <alignment horizontal="right"/>
    </xf>
    <xf numFmtId="178" fontId="9" fillId="0" borderId="15" xfId="0" applyNumberFormat="1" applyFont="1" applyFill="1" applyBorder="1" applyAlignment="1" applyProtection="1">
      <alignment horizontal="right"/>
    </xf>
    <xf numFmtId="179" fontId="9" fillId="0" borderId="15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9" xfId="0" applyBorder="1" applyProtection="1"/>
    <xf numFmtId="0" fontId="3" fillId="0" borderId="9" xfId="0" applyFont="1" applyBorder="1" applyAlignment="1" applyProtection="1">
      <alignment horizontal="left"/>
    </xf>
    <xf numFmtId="171" fontId="0" fillId="0" borderId="9" xfId="0" applyNumberFormat="1" applyBorder="1" applyAlignment="1" applyProtection="1">
      <alignment horizontal="center"/>
    </xf>
    <xf numFmtId="0" fontId="0" fillId="10" borderId="9" xfId="0" applyFill="1" applyBorder="1" applyProtection="1"/>
    <xf numFmtId="0" fontId="0" fillId="0" borderId="9" xfId="0" applyBorder="1" applyAlignment="1" applyProtection="1">
      <alignment horizontal="center"/>
    </xf>
    <xf numFmtId="0" fontId="0" fillId="15" borderId="9" xfId="0" applyFill="1" applyBorder="1" applyAlignment="1" applyProtection="1">
      <alignment horizontal="center"/>
    </xf>
    <xf numFmtId="0" fontId="0" fillId="11" borderId="9" xfId="0" applyFill="1" applyBorder="1" applyProtection="1"/>
    <xf numFmtId="0" fontId="0" fillId="12" borderId="9" xfId="0" applyFill="1" applyBorder="1" applyProtection="1"/>
    <xf numFmtId="0" fontId="0" fillId="13" borderId="9" xfId="0" applyFill="1" applyBorder="1" applyProtection="1"/>
    <xf numFmtId="0" fontId="0" fillId="14" borderId="9" xfId="0" applyFill="1" applyBorder="1" applyProtection="1"/>
    <xf numFmtId="0" fontId="3" fillId="0" borderId="9" xfId="0" applyFont="1" applyBorder="1" applyAlignment="1" applyProtection="1">
      <alignment horizontal="left"/>
      <protection locked="0"/>
    </xf>
    <xf numFmtId="0" fontId="0" fillId="10" borderId="9" xfId="0" applyFill="1" applyBorder="1" applyAlignment="1" applyProtection="1">
      <alignment vertical="top"/>
    </xf>
    <xf numFmtId="0" fontId="0" fillId="11" borderId="9" xfId="0" applyFill="1" applyBorder="1" applyAlignment="1" applyProtection="1">
      <alignment vertical="top"/>
    </xf>
    <xf numFmtId="0" fontId="0" fillId="12" borderId="9" xfId="0" applyFill="1" applyBorder="1" applyAlignment="1" applyProtection="1">
      <alignment vertical="top"/>
    </xf>
    <xf numFmtId="0" fontId="0" fillId="13" borderId="9" xfId="0" applyFill="1" applyBorder="1" applyAlignment="1" applyProtection="1">
      <alignment vertical="top"/>
    </xf>
    <xf numFmtId="14" fontId="0" fillId="0" borderId="0" xfId="0" applyNumberFormat="1" applyProtection="1"/>
    <xf numFmtId="0" fontId="1" fillId="5" borderId="9" xfId="0" applyFont="1" applyFill="1" applyBorder="1" applyAlignment="1" applyProtection="1">
      <alignment horizontal="right"/>
    </xf>
    <xf numFmtId="14" fontId="1" fillId="5" borderId="9" xfId="0" applyNumberFormat="1" applyFont="1" applyFill="1" applyBorder="1" applyAlignment="1" applyProtection="1">
      <alignment horizontal="right"/>
    </xf>
    <xf numFmtId="0" fontId="0" fillId="5" borderId="9" xfId="0" applyFill="1" applyBorder="1" applyAlignment="1" applyProtection="1">
      <alignment horizontal="right"/>
    </xf>
    <xf numFmtId="0" fontId="1" fillId="5" borderId="15" xfId="0" applyFont="1" applyFill="1" applyBorder="1" applyAlignment="1" applyProtection="1">
      <alignment horizontal="right"/>
    </xf>
    <xf numFmtId="168" fontId="0" fillId="5" borderId="9" xfId="0" applyNumberFormat="1" applyFill="1" applyBorder="1" applyProtection="1"/>
    <xf numFmtId="0" fontId="7" fillId="5" borderId="9" xfId="0" applyFont="1" applyFill="1" applyBorder="1" applyAlignment="1" applyProtection="1">
      <alignment horizontal="right"/>
    </xf>
    <xf numFmtId="0" fontId="0" fillId="5" borderId="9" xfId="0" applyNumberFormat="1" applyFill="1" applyBorder="1" applyProtection="1"/>
    <xf numFmtId="14" fontId="1" fillId="5" borderId="9" xfId="0" applyNumberFormat="1" applyFont="1" applyFill="1" applyBorder="1" applyProtection="1"/>
    <xf numFmtId="0" fontId="0" fillId="5" borderId="9" xfId="0" applyFill="1" applyBorder="1" applyProtection="1"/>
    <xf numFmtId="14" fontId="0" fillId="5" borderId="9" xfId="0" applyNumberFormat="1" applyFill="1" applyBorder="1" applyAlignment="1" applyProtection="1">
      <alignment horizontal="right"/>
    </xf>
    <xf numFmtId="0" fontId="22" fillId="0" borderId="0" xfId="0" applyFont="1" applyFill="1" applyAlignment="1" applyProtection="1">
      <alignment vertical="center" textRotation="90"/>
    </xf>
    <xf numFmtId="0" fontId="3" fillId="0" borderId="19" xfId="0" applyFont="1" applyBorder="1" applyProtection="1"/>
    <xf numFmtId="0" fontId="3" fillId="10" borderId="0" xfId="0" applyFont="1" applyFill="1" applyProtection="1"/>
    <xf numFmtId="0" fontId="3" fillId="10" borderId="9" xfId="0" applyFont="1" applyFill="1" applyBorder="1" applyProtection="1"/>
    <xf numFmtId="177" fontId="3" fillId="7" borderId="9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9" fontId="7" fillId="0" borderId="16" xfId="2" applyFont="1" applyFill="1" applyBorder="1" applyProtection="1"/>
    <xf numFmtId="0" fontId="3" fillId="11" borderId="0" xfId="0" applyFont="1" applyFill="1" applyProtection="1"/>
    <xf numFmtId="0" fontId="3" fillId="11" borderId="9" xfId="0" applyFont="1" applyFill="1" applyBorder="1" applyProtection="1"/>
    <xf numFmtId="178" fontId="3" fillId="7" borderId="9" xfId="0" applyNumberFormat="1" applyFont="1" applyFill="1" applyBorder="1" applyAlignment="1" applyProtection="1">
      <alignment horizontal="right"/>
    </xf>
    <xf numFmtId="0" fontId="3" fillId="12" borderId="0" xfId="0" applyFont="1" applyFill="1" applyProtection="1"/>
    <xf numFmtId="0" fontId="3" fillId="12" borderId="9" xfId="0" applyFont="1" applyFill="1" applyBorder="1" applyProtection="1"/>
    <xf numFmtId="180" fontId="3" fillId="7" borderId="9" xfId="0" applyNumberFormat="1" applyFont="1" applyFill="1" applyBorder="1" applyAlignment="1" applyProtection="1">
      <alignment horizontal="right"/>
    </xf>
    <xf numFmtId="0" fontId="3" fillId="13" borderId="0" xfId="0" applyFont="1" applyFill="1" applyProtection="1"/>
    <xf numFmtId="0" fontId="3" fillId="13" borderId="9" xfId="0" applyFont="1" applyFill="1" applyBorder="1" applyProtection="1"/>
    <xf numFmtId="0" fontId="3" fillId="14" borderId="0" xfId="0" applyFont="1" applyFill="1" applyProtection="1"/>
    <xf numFmtId="0" fontId="3" fillId="14" borderId="9" xfId="0" applyFont="1" applyFill="1" applyBorder="1" applyProtection="1"/>
    <xf numFmtId="0" fontId="3" fillId="2" borderId="0" xfId="0" applyFont="1" applyFill="1" applyProtection="1"/>
    <xf numFmtId="14" fontId="1" fillId="0" borderId="9" xfId="0" applyNumberFormat="1" applyFont="1" applyFill="1" applyBorder="1" applyProtection="1"/>
    <xf numFmtId="0" fontId="0" fillId="4" borderId="9" xfId="0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9" xfId="0" applyBorder="1" applyAlignment="1" applyProtection="1">
      <alignment horizontal="right"/>
    </xf>
    <xf numFmtId="14" fontId="0" fillId="0" borderId="9" xfId="0" applyNumberFormat="1" applyFill="1" applyBorder="1" applyProtection="1"/>
    <xf numFmtId="173" fontId="7" fillId="5" borderId="9" xfId="0" applyNumberFormat="1" applyFont="1" applyFill="1" applyBorder="1" applyProtection="1"/>
    <xf numFmtId="174" fontId="7" fillId="0" borderId="9" xfId="0" applyNumberFormat="1" applyFont="1" applyFill="1" applyBorder="1" applyProtection="1"/>
    <xf numFmtId="0" fontId="0" fillId="0" borderId="15" xfId="0" applyFill="1" applyBorder="1" applyProtection="1"/>
    <xf numFmtId="0" fontId="0" fillId="0" borderId="0" xfId="0" applyFill="1" applyProtection="1"/>
    <xf numFmtId="167" fontId="0" fillId="5" borderId="9" xfId="0" applyNumberFormat="1" applyFill="1" applyBorder="1" applyProtection="1"/>
    <xf numFmtId="169" fontId="0" fillId="0" borderId="9" xfId="0" applyNumberFormat="1" applyFill="1" applyBorder="1" applyProtection="1"/>
    <xf numFmtId="0" fontId="4" fillId="0" borderId="0" xfId="0" applyFont="1" applyFill="1" applyProtection="1"/>
    <xf numFmtId="0" fontId="0" fillId="0" borderId="9" xfId="0" applyFill="1" applyBorder="1" applyProtection="1"/>
    <xf numFmtId="0" fontId="7" fillId="0" borderId="9" xfId="0" applyFont="1" applyFill="1" applyBorder="1" applyProtection="1"/>
    <xf numFmtId="14" fontId="7" fillId="0" borderId="9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Protection="1"/>
    <xf numFmtId="0" fontId="7" fillId="0" borderId="0" xfId="0" applyFont="1" applyFill="1" applyAlignment="1" applyProtection="1">
      <alignment horizontal="right"/>
    </xf>
    <xf numFmtId="165" fontId="0" fillId="0" borderId="0" xfId="0" applyNumberForma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0" fillId="0" borderId="6" xfId="0" applyBorder="1" applyProtection="1"/>
    <xf numFmtId="0" fontId="8" fillId="0" borderId="7" xfId="0" applyFont="1" applyBorder="1" applyProtection="1"/>
    <xf numFmtId="0" fontId="8" fillId="0" borderId="7" xfId="0" applyFont="1" applyBorder="1" applyAlignment="1" applyProtection="1">
      <alignment horizontal="right"/>
    </xf>
    <xf numFmtId="0" fontId="8" fillId="0" borderId="7" xfId="0" applyFont="1" applyFill="1" applyBorder="1" applyAlignment="1" applyProtection="1">
      <alignment horizontal="right"/>
    </xf>
    <xf numFmtId="20" fontId="8" fillId="5" borderId="17" xfId="0" applyNumberFormat="1" applyFont="1" applyFill="1" applyBorder="1" applyProtection="1"/>
    <xf numFmtId="0" fontId="0" fillId="0" borderId="7" xfId="0" applyBorder="1" applyProtection="1"/>
    <xf numFmtId="0" fontId="0" fillId="0" borderId="8" xfId="0" applyBorder="1" applyProtection="1"/>
    <xf numFmtId="0" fontId="3" fillId="3" borderId="12" xfId="0" applyFont="1" applyFill="1" applyBorder="1" applyAlignment="1" applyProtection="1">
      <alignment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wrapText="1"/>
    </xf>
    <xf numFmtId="0" fontId="3" fillId="3" borderId="3" xfId="0" applyFont="1" applyFill="1" applyBorder="1" applyProtection="1"/>
    <xf numFmtId="0" fontId="3" fillId="3" borderId="13" xfId="0" applyFont="1" applyFill="1" applyBorder="1" applyAlignment="1" applyProtection="1">
      <alignment horizontal="left" wrapText="1"/>
    </xf>
    <xf numFmtId="0" fontId="3" fillId="10" borderId="4" xfId="0" applyFont="1" applyFill="1" applyBorder="1" applyProtection="1"/>
    <xf numFmtId="0" fontId="0" fillId="10" borderId="5" xfId="0" applyFill="1" applyBorder="1" applyProtection="1"/>
    <xf numFmtId="0" fontId="0" fillId="10" borderId="5" xfId="0" applyFill="1" applyBorder="1" applyAlignment="1" applyProtection="1"/>
    <xf numFmtId="0" fontId="7" fillId="10" borderId="10" xfId="0" applyFont="1" applyFill="1" applyBorder="1" applyAlignment="1" applyProtection="1">
      <alignment horizontal="right"/>
    </xf>
    <xf numFmtId="0" fontId="5" fillId="0" borderId="1" xfId="0" applyFont="1" applyBorder="1" applyProtection="1"/>
    <xf numFmtId="164" fontId="3" fillId="0" borderId="11" xfId="0" applyNumberFormat="1" applyFont="1" applyBorder="1" applyAlignment="1" applyProtection="1">
      <alignment horizontal="left"/>
    </xf>
    <xf numFmtId="177" fontId="3" fillId="0" borderId="11" xfId="0" applyNumberFormat="1" applyFont="1" applyFill="1" applyBorder="1" applyAlignment="1" applyProtection="1">
      <alignment horizontal="left"/>
    </xf>
    <xf numFmtId="9" fontId="6" fillId="0" borderId="11" xfId="2" applyFont="1" applyFill="1" applyBorder="1" applyAlignment="1" applyProtection="1">
      <alignment horizontal="left"/>
    </xf>
    <xf numFmtId="0" fontId="6" fillId="0" borderId="2" xfId="0" applyFont="1" applyBorder="1" applyProtection="1"/>
    <xf numFmtId="0" fontId="6" fillId="0" borderId="12" xfId="0" applyFont="1" applyBorder="1" applyProtection="1"/>
    <xf numFmtId="0" fontId="2" fillId="0" borderId="3" xfId="0" applyFont="1" applyBorder="1" applyProtection="1"/>
    <xf numFmtId="0" fontId="6" fillId="0" borderId="13" xfId="0" applyFont="1" applyBorder="1" applyAlignment="1" applyProtection="1">
      <alignment horizontal="left"/>
    </xf>
    <xf numFmtId="0" fontId="3" fillId="11" borderId="4" xfId="0" applyFont="1" applyFill="1" applyBorder="1" applyProtection="1"/>
    <xf numFmtId="0" fontId="0" fillId="11" borderId="5" xfId="0" applyFill="1" applyBorder="1" applyProtection="1"/>
    <xf numFmtId="0" fontId="0" fillId="11" borderId="5" xfId="0" applyFill="1" applyBorder="1" applyAlignment="1" applyProtection="1"/>
    <xf numFmtId="0" fontId="7" fillId="11" borderId="10" xfId="0" applyFont="1" applyFill="1" applyBorder="1" applyAlignment="1" applyProtection="1">
      <alignment horizontal="right"/>
    </xf>
    <xf numFmtId="0" fontId="3" fillId="12" borderId="4" xfId="0" applyFont="1" applyFill="1" applyBorder="1" applyProtection="1"/>
    <xf numFmtId="0" fontId="0" fillId="12" borderId="5" xfId="0" applyFill="1" applyBorder="1" applyProtection="1"/>
    <xf numFmtId="0" fontId="0" fillId="12" borderId="5" xfId="0" applyFill="1" applyBorder="1" applyAlignment="1" applyProtection="1"/>
    <xf numFmtId="0" fontId="7" fillId="12" borderId="10" xfId="0" applyFont="1" applyFill="1" applyBorder="1" applyAlignment="1" applyProtection="1">
      <alignment horizontal="right"/>
    </xf>
    <xf numFmtId="180" fontId="3" fillId="0" borderId="11" xfId="0" applyNumberFormat="1" applyFont="1" applyFill="1" applyBorder="1" applyAlignment="1" applyProtection="1">
      <alignment horizontal="left"/>
    </xf>
    <xf numFmtId="0" fontId="18" fillId="0" borderId="0" xfId="0" applyFont="1" applyBorder="1" applyAlignment="1" applyProtection="1">
      <alignment horizontal="left" vertical="center" readingOrder="1"/>
    </xf>
    <xf numFmtId="0" fontId="3" fillId="13" borderId="4" xfId="0" applyFont="1" applyFill="1" applyBorder="1" applyProtection="1"/>
    <xf numFmtId="0" fontId="0" fillId="13" borderId="5" xfId="0" applyFill="1" applyBorder="1" applyProtection="1"/>
    <xf numFmtId="0" fontId="0" fillId="13" borderId="5" xfId="0" applyFill="1" applyBorder="1" applyAlignment="1" applyProtection="1"/>
    <xf numFmtId="0" fontId="7" fillId="13" borderId="10" xfId="0" applyFont="1" applyFill="1" applyBorder="1" applyAlignment="1" applyProtection="1">
      <alignment horizontal="right"/>
    </xf>
    <xf numFmtId="0" fontId="3" fillId="14" borderId="4" xfId="0" applyFont="1" applyFill="1" applyBorder="1" applyProtection="1"/>
    <xf numFmtId="0" fontId="0" fillId="14" borderId="5" xfId="0" applyFill="1" applyBorder="1" applyProtection="1"/>
    <xf numFmtId="0" fontId="0" fillId="14" borderId="5" xfId="0" applyFill="1" applyBorder="1" applyAlignment="1" applyProtection="1"/>
    <xf numFmtId="0" fontId="7" fillId="14" borderId="10" xfId="0" applyFont="1" applyFill="1" applyBorder="1" applyAlignment="1" applyProtection="1">
      <alignment horizontal="right"/>
    </xf>
    <xf numFmtId="0" fontId="0" fillId="6" borderId="0" xfId="0" applyFill="1" applyProtection="1"/>
    <xf numFmtId="0" fontId="22" fillId="9" borderId="0" xfId="0" applyFont="1" applyFill="1" applyAlignment="1" applyProtection="1">
      <alignment horizontal="center" vertical="center" textRotation="90"/>
    </xf>
    <xf numFmtId="0" fontId="24" fillId="0" borderId="0" xfId="1" applyFont="1" applyProtection="1"/>
    <xf numFmtId="0" fontId="0" fillId="0" borderId="0" xfId="0" applyProtection="1"/>
    <xf numFmtId="0" fontId="7" fillId="0" borderId="4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5" xfId="0" applyFill="1" applyBorder="1" applyAlignment="1" applyProtection="1">
      <alignment horizontal="left"/>
    </xf>
    <xf numFmtId="0" fontId="0" fillId="5" borderId="10" xfId="0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0" fontId="12" fillId="0" borderId="4" xfId="1" applyFill="1" applyBorder="1" applyAlignment="1" applyProtection="1">
      <alignment horizontal="left" vertical="top" wrapText="1"/>
    </xf>
    <xf numFmtId="0" fontId="17" fillId="0" borderId="5" xfId="1" applyFont="1" applyFill="1" applyBorder="1" applyAlignment="1" applyProtection="1">
      <alignment horizontal="left" vertical="top" wrapText="1"/>
    </xf>
    <xf numFmtId="0" fontId="17" fillId="0" borderId="10" xfId="1" applyFont="1" applyFill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left" vertical="top" wrapText="1"/>
    </xf>
    <xf numFmtId="0" fontId="16" fillId="0" borderId="10" xfId="0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12" fillId="0" borderId="9" xfId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14" fontId="1" fillId="0" borderId="9" xfId="0" applyNumberFormat="1" applyFont="1" applyFill="1" applyBorder="1" applyAlignment="1" applyProtection="1">
      <alignment horizontal="right"/>
    </xf>
    <xf numFmtId="0" fontId="1" fillId="0" borderId="9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18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4" fontId="0" fillId="0" borderId="9" xfId="0" applyNumberForma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/>
    </xf>
    <xf numFmtId="173" fontId="7" fillId="0" borderId="9" xfId="0" applyNumberFormat="1" applyFont="1" applyFill="1" applyBorder="1" applyAlignment="1" applyProtection="1">
      <alignment horizontal="right"/>
    </xf>
    <xf numFmtId="172" fontId="0" fillId="0" borderId="15" xfId="0" applyNumberFormat="1" applyFill="1" applyBorder="1" applyAlignment="1" applyProtection="1">
      <alignment horizontal="right"/>
    </xf>
    <xf numFmtId="174" fontId="7" fillId="0" borderId="9" xfId="0" applyNumberFormat="1" applyFont="1" applyFill="1" applyBorder="1" applyAlignment="1" applyProtection="1">
      <alignment horizontal="right"/>
    </xf>
    <xf numFmtId="174" fontId="0" fillId="0" borderId="9" xfId="0" applyNumberFormat="1" applyFill="1" applyBorder="1" applyAlignment="1" applyProtection="1">
      <alignment horizontal="right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169" fontId="0" fillId="0" borderId="9" xfId="0" applyNumberForma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0" fontId="0" fillId="0" borderId="4" xfId="0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right"/>
    </xf>
    <xf numFmtId="0" fontId="0" fillId="0" borderId="10" xfId="0" applyFill="1" applyBorder="1" applyAlignment="1" applyProtection="1">
      <alignment horizontal="right"/>
    </xf>
    <xf numFmtId="167" fontId="0" fillId="0" borderId="4" xfId="0" applyNumberFormat="1" applyFill="1" applyBorder="1" applyAlignment="1" applyProtection="1">
      <alignment horizontal="right"/>
    </xf>
    <xf numFmtId="167" fontId="0" fillId="0" borderId="5" xfId="0" applyNumberFormat="1" applyFill="1" applyBorder="1" applyAlignment="1" applyProtection="1">
      <alignment horizontal="right"/>
    </xf>
    <xf numFmtId="167" fontId="0" fillId="0" borderId="10" xfId="0" applyNumberFormat="1" applyFill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right"/>
    </xf>
    <xf numFmtId="0" fontId="0" fillId="0" borderId="18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6" borderId="0" xfId="0" applyFill="1" applyAlignment="1" applyProtection="1">
      <alignment horizontal="center"/>
    </xf>
    <xf numFmtId="0" fontId="8" fillId="0" borderId="4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/>
    </xf>
    <xf numFmtId="0" fontId="0" fillId="0" borderId="3" xfId="0" applyNumberFormat="1" applyFill="1" applyBorder="1" applyAlignment="1" applyProtection="1">
      <alignment horizontal="left"/>
    </xf>
    <xf numFmtId="0" fontId="0" fillId="0" borderId="13" xfId="0" applyNumberForma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 wrapText="1"/>
    </xf>
    <xf numFmtId="0" fontId="6" fillId="0" borderId="11" xfId="0" applyFont="1" applyBorder="1" applyAlignment="1" applyProtection="1">
      <alignment horizontal="left"/>
    </xf>
    <xf numFmtId="0" fontId="6" fillId="0" borderId="11" xfId="0" quotePrefix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375"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color rgb="FFFFFF6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color rgb="FFFFFF6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color rgb="FFFFFF6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7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color rgb="FFFFFF6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C00000"/>
      </font>
      <fill>
        <patternFill>
          <bgColor theme="0" tint="-4.9989318521683403E-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0" tint="-0.24994659260841701"/>
      </font>
    </dxf>
    <dxf>
      <font>
        <color theme="0" tint="-0.14996795556505021"/>
      </font>
      <fill>
        <patternFill>
          <bgColor theme="0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E05339"/>
      <color rgb="FFECECEC"/>
      <color rgb="FFF3F781"/>
      <color rgb="FFF89E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ncbi.nlm.nih.gov/pubmed/15718320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ncbi.nlm.nih.gov/pubmed/21561347" TargetMode="External"/><Relationship Id="rId1" Type="http://schemas.openxmlformats.org/officeDocument/2006/relationships/hyperlink" Target="http://opti.iese.de/public/content/e155/e376?TherapieProtokollID=47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cbi.nlm.nih.gov/pubmed/2631478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000"/>
  <sheetViews>
    <sheetView showGridLines="0" tabSelected="1" zoomScaleNormal="100" workbookViewId="0">
      <selection activeCell="B2" sqref="B2:E2"/>
    </sheetView>
  </sheetViews>
  <sheetFormatPr defaultColWidth="11.42578125" defaultRowHeight="12.75" x14ac:dyDescent="0.2"/>
  <cols>
    <col min="1" max="1" width="3.7109375" style="3" customWidth="1"/>
    <col min="2" max="2" width="29.7109375" style="3" customWidth="1"/>
    <col min="3" max="3" width="15.7109375" style="3" customWidth="1"/>
    <col min="4" max="4" width="16.42578125" style="3" customWidth="1"/>
    <col min="5" max="142" width="15.7109375" style="3" customWidth="1"/>
    <col min="143" max="16384" width="11.42578125" style="3"/>
  </cols>
  <sheetData>
    <row r="1" spans="1:26" ht="12.75" customHeight="1" x14ac:dyDescent="0.2">
      <c r="A1" s="164" t="s">
        <v>57</v>
      </c>
      <c r="B1" s="165" t="s">
        <v>96</v>
      </c>
      <c r="C1" s="166"/>
      <c r="D1" s="166"/>
      <c r="E1" s="166"/>
      <c r="F1" s="166"/>
      <c r="G1" s="166"/>
      <c r="H1" s="166"/>
      <c r="I1" s="166"/>
      <c r="J1" s="166"/>
      <c r="K1" s="44" t="str">
        <f>"Übersicht Z" &amp; Zyklusnummer</f>
        <v>Übersicht Z1</v>
      </c>
      <c r="L1" s="5"/>
      <c r="M1" s="7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x14ac:dyDescent="0.25">
      <c r="A2" s="164"/>
      <c r="B2" s="176" t="s">
        <v>131</v>
      </c>
      <c r="C2" s="176"/>
      <c r="D2" s="176"/>
      <c r="E2" s="176"/>
      <c r="F2" s="44" t="s">
        <v>46</v>
      </c>
      <c r="G2" s="26">
        <v>21916</v>
      </c>
      <c r="H2" s="43" t="s">
        <v>49</v>
      </c>
      <c r="I2" s="11" t="str">
        <f ca="1">IF(PatientGeboren=0,"",DATEDIF(PatientGeboren,NOW(),"y") &amp; "J " &amp; MOD(DATEDIF(PatientGeboren,NOW(),"m"),12) &amp; "M")</f>
        <v>61J 8M</v>
      </c>
      <c r="J2" s="43" t="s">
        <v>5</v>
      </c>
      <c r="K2" s="27" t="s">
        <v>132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64"/>
      <c r="B3" s="43" t="s">
        <v>6</v>
      </c>
      <c r="C3" s="177" t="s">
        <v>112</v>
      </c>
      <c r="D3" s="174"/>
      <c r="E3" s="175"/>
      <c r="F3" s="43" t="s">
        <v>7</v>
      </c>
      <c r="G3" s="73" t="s">
        <v>133</v>
      </c>
      <c r="H3" s="43" t="s">
        <v>44</v>
      </c>
      <c r="I3" s="73" t="s">
        <v>95</v>
      </c>
      <c r="J3" s="42" t="s">
        <v>42</v>
      </c>
      <c r="K3" s="74">
        <v>44356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64"/>
      <c r="B4" s="43" t="s">
        <v>35</v>
      </c>
      <c r="C4" s="24">
        <v>170</v>
      </c>
      <c r="D4" s="43" t="s">
        <v>38</v>
      </c>
      <c r="E4" s="25">
        <v>75</v>
      </c>
      <c r="F4" s="43" t="s">
        <v>39</v>
      </c>
      <c r="G4" s="9">
        <f>KG^0.425*GroesseCM^0.725/139.315</f>
        <v>1.8619954939793939</v>
      </c>
      <c r="H4" s="43" t="s">
        <v>40</v>
      </c>
      <c r="I4" s="75" t="s">
        <v>134</v>
      </c>
      <c r="J4" s="43" t="s">
        <v>8</v>
      </c>
      <c r="K4" s="76">
        <v>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4"/>
      <c r="B5" s="43" t="s">
        <v>36</v>
      </c>
      <c r="C5" s="77">
        <v>0.8</v>
      </c>
      <c r="D5" s="43" t="s">
        <v>43</v>
      </c>
      <c r="E5" s="74">
        <v>44445</v>
      </c>
      <c r="F5" s="45" t="str">
        <f>"GFR " &amp; shortGFR(sGFR)</f>
        <v>GFR NM</v>
      </c>
      <c r="G5" s="22">
        <f ca="1">fGFR(KG,GroesseCM,PatientAlter,PatientGeschlecht,PatientSerumKreatinin)</f>
        <v>98.988629165216764</v>
      </c>
      <c r="H5" s="43" t="s">
        <v>41</v>
      </c>
      <c r="I5" s="78" t="s">
        <v>134</v>
      </c>
      <c r="J5" s="6" t="s">
        <v>9</v>
      </c>
      <c r="K5" s="75">
        <v>3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164"/>
      <c r="B6" s="44" t="s">
        <v>45</v>
      </c>
      <c r="C6" s="31">
        <v>1</v>
      </c>
      <c r="D6" s="43" t="s">
        <v>19</v>
      </c>
      <c r="E6" s="79">
        <v>12</v>
      </c>
      <c r="F6" s="5"/>
      <c r="G6" s="29">
        <v>14</v>
      </c>
      <c r="H6" s="13">
        <f ca="1">ROUND((NOW()-PatientGeboren) / 365,0)</f>
        <v>62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64"/>
      <c r="B7" s="23" t="s">
        <v>58</v>
      </c>
      <c r="C7" s="80">
        <v>44445</v>
      </c>
      <c r="D7" s="43" t="s">
        <v>26</v>
      </c>
      <c r="E7" s="81">
        <v>14</v>
      </c>
      <c r="F7" s="43" t="s">
        <v>25</v>
      </c>
      <c r="G7" s="28">
        <f>IF(OR(ISBLANK(Therapiebeginn),ISBLANK(IntervallTage)), "", Therapiebeginn+IntervallTage-1)</f>
        <v>44458</v>
      </c>
      <c r="H7" s="43" t="s">
        <v>37</v>
      </c>
      <c r="I7" s="82">
        <v>44445</v>
      </c>
      <c r="J7" s="43" t="s">
        <v>27</v>
      </c>
      <c r="K7" s="28">
        <f>IF(OR(ISBLANK(Therapiebeginn),ISBLANK(IntervallTage),EmpfZyklen=1),"",Therapiebeginn+IntervallTage)</f>
        <v>44459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64"/>
      <c r="B8" s="43" t="s">
        <v>3</v>
      </c>
      <c r="C8" s="173"/>
      <c r="D8" s="174"/>
      <c r="E8" s="174"/>
      <c r="F8" s="174"/>
      <c r="G8" s="174"/>
      <c r="H8" s="174"/>
      <c r="I8" s="174"/>
      <c r="J8" s="174"/>
      <c r="K8" s="17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41.25" customHeight="1" x14ac:dyDescent="0.2">
      <c r="A9" s="83"/>
      <c r="B9" s="8" t="s">
        <v>23</v>
      </c>
      <c r="C9" s="167" t="s">
        <v>118</v>
      </c>
      <c r="D9" s="168"/>
      <c r="E9" s="168"/>
      <c r="F9" s="168"/>
      <c r="G9" s="168"/>
      <c r="H9" s="168"/>
      <c r="I9" s="168"/>
      <c r="J9" s="168"/>
      <c r="K9" s="16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83"/>
      <c r="B10" s="44" t="s">
        <v>21</v>
      </c>
      <c r="C10" s="170" t="s">
        <v>111</v>
      </c>
      <c r="D10" s="171"/>
      <c r="E10" s="171"/>
      <c r="F10" s="171"/>
      <c r="G10" s="171"/>
      <c r="H10" s="171"/>
      <c r="I10" s="171"/>
      <c r="J10" s="171"/>
      <c r="K10" s="17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83"/>
      <c r="B11" s="44" t="s">
        <v>20</v>
      </c>
      <c r="C11" s="170" t="s">
        <v>112</v>
      </c>
      <c r="D11" s="171"/>
      <c r="E11" s="171"/>
      <c r="F11" s="171"/>
      <c r="G11" s="171"/>
      <c r="H11" s="171"/>
      <c r="I11" s="171"/>
      <c r="J11" s="171"/>
      <c r="K11" s="17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83"/>
      <c r="B12" s="44" t="s">
        <v>50</v>
      </c>
      <c r="C12" s="170" t="s">
        <v>117</v>
      </c>
      <c r="D12" s="171"/>
      <c r="E12" s="171"/>
      <c r="F12" s="171"/>
      <c r="G12" s="171"/>
      <c r="H12" s="171"/>
      <c r="I12" s="171"/>
      <c r="J12" s="171"/>
      <c r="K12" s="17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83"/>
      <c r="B13" s="44" t="s">
        <v>1</v>
      </c>
      <c r="C13" s="183" t="s">
        <v>113</v>
      </c>
      <c r="D13" s="184"/>
      <c r="E13" s="184"/>
      <c r="F13" s="184"/>
      <c r="G13" s="184"/>
      <c r="H13" s="184"/>
      <c r="I13" s="184"/>
      <c r="J13" s="184"/>
      <c r="K13" s="18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83"/>
      <c r="B14" s="7" t="s">
        <v>4</v>
      </c>
      <c r="C14" s="186" t="s">
        <v>114</v>
      </c>
      <c r="D14" s="187"/>
      <c r="E14" s="187"/>
      <c r="F14" s="187"/>
      <c r="G14" s="187"/>
      <c r="H14" s="187"/>
      <c r="I14" s="187"/>
      <c r="J14" s="187"/>
      <c r="K14" s="18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83"/>
      <c r="B15" s="5"/>
      <c r="C15" s="178" t="s">
        <v>115</v>
      </c>
      <c r="D15" s="181"/>
      <c r="E15" s="181"/>
      <c r="F15" s="181"/>
      <c r="G15" s="181"/>
      <c r="H15" s="181"/>
      <c r="I15" s="181"/>
      <c r="J15" s="181"/>
      <c r="K15" s="18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83"/>
      <c r="B16" s="5"/>
      <c r="C16" s="178" t="s">
        <v>116</v>
      </c>
      <c r="D16" s="179"/>
      <c r="E16" s="179"/>
      <c r="F16" s="179"/>
      <c r="G16" s="179"/>
      <c r="H16" s="179"/>
      <c r="I16" s="179"/>
      <c r="J16" s="179"/>
      <c r="K16" s="18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83"/>
      <c r="B17" s="44" t="s">
        <v>52</v>
      </c>
      <c r="C17" s="20" t="str">
        <f>optiFilename()</f>
        <v>c:\Protokolle</v>
      </c>
      <c r="D17" s="21"/>
      <c r="E17" s="21"/>
      <c r="F17" s="21"/>
      <c r="G17" s="21"/>
      <c r="H17" s="21"/>
      <c r="I17" s="21"/>
      <c r="J17" s="21"/>
      <c r="K17" s="2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8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5"/>
      <c r="B19" s="43" t="s">
        <v>51</v>
      </c>
      <c r="C19" s="84">
        <v>1</v>
      </c>
      <c r="D19" s="84">
        <v>2</v>
      </c>
      <c r="E19" s="84">
        <v>3</v>
      </c>
      <c r="F19" s="84">
        <v>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5"/>
      <c r="B20" s="43" t="s">
        <v>43</v>
      </c>
      <c r="C20" s="52">
        <f>Therapiebeginn</f>
        <v>44445</v>
      </c>
      <c r="D20" s="52">
        <f>PDateOV_1+1</f>
        <v>44446</v>
      </c>
      <c r="E20" s="52">
        <f>PDateOV_2+1</f>
        <v>44447</v>
      </c>
      <c r="F20" s="52">
        <f>PDateOV_3+1</f>
        <v>44448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5"/>
      <c r="B21" s="85" t="s">
        <v>59</v>
      </c>
      <c r="C21" s="85"/>
      <c r="D21" s="85"/>
      <c r="E21" s="85"/>
      <c r="F21" s="8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5"/>
      <c r="B22" s="86" t="s">
        <v>97</v>
      </c>
      <c r="C22" s="87">
        <f>PMSID_2435_1_A_D</f>
        <v>500</v>
      </c>
      <c r="D22" s="87">
        <f>PMSID_2435_2_A_D</f>
        <v>0</v>
      </c>
      <c r="E22" s="87">
        <f>PMSID_2435_3_A_D</f>
        <v>0</v>
      </c>
      <c r="F22" s="87">
        <f>PMSID_2435_4_A_D</f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5"/>
      <c r="B23" s="88" t="s">
        <v>22</v>
      </c>
      <c r="C23" s="89">
        <v>1</v>
      </c>
      <c r="D23" s="89">
        <v>0</v>
      </c>
      <c r="E23" s="89">
        <v>0</v>
      </c>
      <c r="F23" s="89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5"/>
      <c r="B24" s="88" t="s">
        <v>12</v>
      </c>
      <c r="C24" s="53">
        <v>500</v>
      </c>
      <c r="D24" s="53">
        <v>500</v>
      </c>
      <c r="E24" s="53">
        <v>500</v>
      </c>
      <c r="F24" s="53">
        <v>500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5"/>
      <c r="B26" s="90" t="s">
        <v>64</v>
      </c>
      <c r="C26" s="90"/>
      <c r="D26" s="90"/>
      <c r="E26" s="90"/>
      <c r="F26" s="9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5"/>
      <c r="B27" s="91" t="s">
        <v>98</v>
      </c>
      <c r="C27" s="92">
        <f>PMSID_947_1_A_D</f>
        <v>8</v>
      </c>
      <c r="D27" s="92">
        <f>PMSID_947_2_A_D</f>
        <v>0</v>
      </c>
      <c r="E27" s="92">
        <f>PMSID_947_3_A_D</f>
        <v>0</v>
      </c>
      <c r="F27" s="92">
        <f>PMSID_947_4_A_D</f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5"/>
      <c r="B28" s="88" t="s">
        <v>22</v>
      </c>
      <c r="C28" s="89">
        <v>1</v>
      </c>
      <c r="D28" s="89">
        <v>0</v>
      </c>
      <c r="E28" s="89">
        <v>0</v>
      </c>
      <c r="F28" s="89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5"/>
      <c r="B29" s="88" t="s">
        <v>12</v>
      </c>
      <c r="C29" s="54">
        <v>8</v>
      </c>
      <c r="D29" s="54">
        <v>8</v>
      </c>
      <c r="E29" s="54">
        <v>8</v>
      </c>
      <c r="F29" s="54">
        <v>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5"/>
      <c r="B31" s="91" t="s">
        <v>99</v>
      </c>
      <c r="C31" s="92">
        <f>PMSID_948_1_A_D</f>
        <v>1</v>
      </c>
      <c r="D31" s="92">
        <f>PMSID_948_2_A_D</f>
        <v>0</v>
      </c>
      <c r="E31" s="92">
        <f>PMSID_948_3_A_D</f>
        <v>0</v>
      </c>
      <c r="F31" s="92">
        <f>PMSID_948_4_A_D</f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5"/>
      <c r="B32" s="88" t="s">
        <v>22</v>
      </c>
      <c r="C32" s="89">
        <v>1</v>
      </c>
      <c r="D32" s="89">
        <v>0</v>
      </c>
      <c r="E32" s="89">
        <v>0</v>
      </c>
      <c r="F32" s="89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5"/>
      <c r="B33" s="88" t="s">
        <v>12</v>
      </c>
      <c r="C33" s="54">
        <v>1</v>
      </c>
      <c r="D33" s="54">
        <v>1</v>
      </c>
      <c r="E33" s="54">
        <v>1</v>
      </c>
      <c r="F33" s="54"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5"/>
      <c r="B35" s="91" t="s">
        <v>100</v>
      </c>
      <c r="C35" s="92">
        <f>PMSID_11533_1_A_D</f>
        <v>0</v>
      </c>
      <c r="D35" s="92">
        <f>PMSID_11533_2_A_D</f>
        <v>8</v>
      </c>
      <c r="E35" s="92">
        <f>PMSID_11533_3_A_D</f>
        <v>8</v>
      </c>
      <c r="F35" s="92">
        <f>PMSID_11533_4_A_D</f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5"/>
      <c r="B36" s="88" t="s">
        <v>22</v>
      </c>
      <c r="C36" s="89">
        <v>0</v>
      </c>
      <c r="D36" s="89">
        <v>1</v>
      </c>
      <c r="E36" s="89">
        <v>1</v>
      </c>
      <c r="F36" s="89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5"/>
      <c r="B37" s="88" t="s">
        <v>12</v>
      </c>
      <c r="C37" s="54">
        <v>8</v>
      </c>
      <c r="D37" s="54">
        <v>8</v>
      </c>
      <c r="E37" s="54">
        <v>8</v>
      </c>
      <c r="F37" s="54">
        <v>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5"/>
      <c r="B39" s="93" t="s">
        <v>73</v>
      </c>
      <c r="C39" s="93"/>
      <c r="D39" s="93"/>
      <c r="E39" s="93"/>
      <c r="F39" s="9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5"/>
      <c r="B40" s="94" t="s">
        <v>101</v>
      </c>
      <c r="C40" s="95">
        <f>PMSID_6608_1_A_D</f>
        <v>158.26961698824849</v>
      </c>
      <c r="D40" s="95">
        <f>PMSID_6608_2_A_D</f>
        <v>0</v>
      </c>
      <c r="E40" s="95">
        <f>PMSID_6608_3_A_D</f>
        <v>0</v>
      </c>
      <c r="F40" s="95">
        <f>PMSID_6608_4_A_D</f>
        <v>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5"/>
      <c r="B41" s="88" t="s">
        <v>22</v>
      </c>
      <c r="C41" s="89">
        <v>1</v>
      </c>
      <c r="D41" s="89">
        <v>0</v>
      </c>
      <c r="E41" s="89">
        <v>0</v>
      </c>
      <c r="F41" s="89"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5"/>
      <c r="B42" s="88" t="s">
        <v>12</v>
      </c>
      <c r="C42" s="55">
        <v>85</v>
      </c>
      <c r="D42" s="55">
        <v>85</v>
      </c>
      <c r="E42" s="55">
        <v>85</v>
      </c>
      <c r="F42" s="55">
        <v>85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5"/>
      <c r="B44" s="94" t="s">
        <v>102</v>
      </c>
      <c r="C44" s="95">
        <f>PMSID_6606_1_A_D</f>
        <v>744.79819759175757</v>
      </c>
      <c r="D44" s="95">
        <f>PMSID_6606_2_A_D</f>
        <v>0</v>
      </c>
      <c r="E44" s="95">
        <f>PMSID_6606_3_A_D</f>
        <v>0</v>
      </c>
      <c r="F44" s="95">
        <f>PMSID_6606_4_A_D</f>
        <v>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5"/>
      <c r="B45" s="88" t="s">
        <v>22</v>
      </c>
      <c r="C45" s="89">
        <v>1</v>
      </c>
      <c r="D45" s="89">
        <v>0</v>
      </c>
      <c r="E45" s="89">
        <v>0</v>
      </c>
      <c r="F45" s="89"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5"/>
      <c r="B46" s="88" t="s">
        <v>12</v>
      </c>
      <c r="C46" s="55">
        <v>400</v>
      </c>
      <c r="D46" s="55">
        <v>400</v>
      </c>
      <c r="E46" s="55">
        <v>400</v>
      </c>
      <c r="F46" s="55">
        <v>400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94" t="s">
        <v>103</v>
      </c>
      <c r="C48" s="95">
        <f>PMSID_6607_1_A_D</f>
        <v>335.15918891629093</v>
      </c>
      <c r="D48" s="95">
        <f>PMSID_6607_2_A_D</f>
        <v>0</v>
      </c>
      <c r="E48" s="95">
        <f>PMSID_6607_3_A_D</f>
        <v>0</v>
      </c>
      <c r="F48" s="95">
        <f>PMSID_6607_4_A_D</f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88" t="s">
        <v>22</v>
      </c>
      <c r="C49" s="89">
        <v>1</v>
      </c>
      <c r="D49" s="89">
        <v>0</v>
      </c>
      <c r="E49" s="89">
        <v>0</v>
      </c>
      <c r="F49" s="89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88" t="s">
        <v>12</v>
      </c>
      <c r="C50" s="55">
        <v>180</v>
      </c>
      <c r="D50" s="55">
        <v>180</v>
      </c>
      <c r="E50" s="55">
        <v>180</v>
      </c>
      <c r="F50" s="55">
        <v>180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94" t="s">
        <v>104</v>
      </c>
      <c r="C52" s="95">
        <f>PMSID_6609_1_A_D</f>
        <v>744.79819759175757</v>
      </c>
      <c r="D52" s="95">
        <f>PMSID_6609_2_A_D</f>
        <v>0</v>
      </c>
      <c r="E52" s="95">
        <f>PMSID_6609_3_A_D</f>
        <v>0</v>
      </c>
      <c r="F52" s="95">
        <f>PMSID_6609_4_A_D</f>
        <v>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88" t="s">
        <v>22</v>
      </c>
      <c r="C53" s="89">
        <v>1</v>
      </c>
      <c r="D53" s="89">
        <v>0</v>
      </c>
      <c r="E53" s="89">
        <v>0</v>
      </c>
      <c r="F53" s="89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88" t="s">
        <v>12</v>
      </c>
      <c r="C54" s="55">
        <v>400</v>
      </c>
      <c r="D54" s="55">
        <v>400</v>
      </c>
      <c r="E54" s="55">
        <v>400</v>
      </c>
      <c r="F54" s="55">
        <v>400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94" t="s">
        <v>104</v>
      </c>
      <c r="C56" s="95">
        <f>PMSID_6610_1_A_D</f>
        <v>4468.789185550545</v>
      </c>
      <c r="D56" s="95">
        <f>PMSID_6610_2_A_D</f>
        <v>0</v>
      </c>
      <c r="E56" s="95">
        <f>PMSID_6610_3_A_D</f>
        <v>0</v>
      </c>
      <c r="F56" s="95">
        <f>PMSID_6610_4_A_D</f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88" t="s">
        <v>22</v>
      </c>
      <c r="C57" s="89">
        <v>1</v>
      </c>
      <c r="D57" s="89">
        <v>0</v>
      </c>
      <c r="E57" s="89">
        <v>0</v>
      </c>
      <c r="F57" s="89">
        <v>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88" t="s">
        <v>12</v>
      </c>
      <c r="C58" s="55">
        <v>2400</v>
      </c>
      <c r="D58" s="55">
        <v>2400</v>
      </c>
      <c r="E58" s="55">
        <v>2400</v>
      </c>
      <c r="F58" s="55">
        <v>2400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96" t="s">
        <v>88</v>
      </c>
      <c r="C60" s="96"/>
      <c r="D60" s="96"/>
      <c r="E60" s="96"/>
      <c r="F60" s="9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97" t="s">
        <v>105</v>
      </c>
      <c r="C61" s="92">
        <f>PMSID_2339_1_A_D</f>
        <v>0</v>
      </c>
      <c r="D61" s="92">
        <f>PMSID_2339_2_A_D</f>
        <v>0</v>
      </c>
      <c r="E61" s="92">
        <f>PMSID_2339_3_A_D</f>
        <v>0</v>
      </c>
      <c r="F61" s="92">
        <f>PMSID_2339_4_A_D</f>
        <v>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88" t="s">
        <v>22</v>
      </c>
      <c r="C62" s="89">
        <v>0</v>
      </c>
      <c r="D62" s="89">
        <v>0</v>
      </c>
      <c r="E62" s="89">
        <v>0</v>
      </c>
      <c r="F62" s="89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88" t="s">
        <v>12</v>
      </c>
      <c r="C63" s="54">
        <v>6</v>
      </c>
      <c r="D63" s="54">
        <v>6</v>
      </c>
      <c r="E63" s="54">
        <v>6</v>
      </c>
      <c r="F63" s="54">
        <v>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98" t="s">
        <v>92</v>
      </c>
      <c r="C65" s="98"/>
      <c r="D65" s="98"/>
      <c r="E65" s="98"/>
      <c r="F65" s="9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99" t="s">
        <v>56</v>
      </c>
      <c r="C66" s="92">
        <f>PMSID_1_1_A_D</f>
        <v>0</v>
      </c>
      <c r="D66" s="92">
        <f>PMSID_1_2_A_D</f>
        <v>0</v>
      </c>
      <c r="E66" s="92">
        <f>PMSID_1_3_A_D</f>
        <v>0</v>
      </c>
      <c r="F66" s="92">
        <f>PMSID_1_4_A_D</f>
        <v>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88" t="s">
        <v>32</v>
      </c>
      <c r="C67" s="89">
        <v>0</v>
      </c>
      <c r="D67" s="89">
        <v>0</v>
      </c>
      <c r="E67" s="89">
        <v>0</v>
      </c>
      <c r="F67" s="89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88" t="s">
        <v>34</v>
      </c>
      <c r="C68" s="54">
        <v>0</v>
      </c>
      <c r="D68" s="54">
        <v>0</v>
      </c>
      <c r="E68" s="54">
        <v>0</v>
      </c>
      <c r="F68" s="54"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99" t="s">
        <v>56</v>
      </c>
      <c r="C70" s="92">
        <f>PMSID_2_1_A_D</f>
        <v>0</v>
      </c>
      <c r="D70" s="92">
        <f>PMSID_2_2_A_D</f>
        <v>0</v>
      </c>
      <c r="E70" s="92">
        <f>PMSID_2_3_A_D</f>
        <v>0</v>
      </c>
      <c r="F70" s="92">
        <f>PMSID_2_4_A_D</f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88" t="s">
        <v>32</v>
      </c>
      <c r="C71" s="89">
        <v>0</v>
      </c>
      <c r="D71" s="89">
        <v>0</v>
      </c>
      <c r="E71" s="89">
        <v>0</v>
      </c>
      <c r="F71" s="89"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88" t="s">
        <v>34</v>
      </c>
      <c r="C72" s="54">
        <v>0</v>
      </c>
      <c r="D72" s="54">
        <v>0</v>
      </c>
      <c r="E72" s="54">
        <v>0</v>
      </c>
      <c r="F72" s="54">
        <v>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99" t="s">
        <v>56</v>
      </c>
      <c r="C74" s="92">
        <f>PMSID_3_1_A_D</f>
        <v>0</v>
      </c>
      <c r="D74" s="92">
        <f>PMSID_3_2_A_D</f>
        <v>0</v>
      </c>
      <c r="E74" s="92">
        <f>PMSID_3_3_A_D</f>
        <v>0</v>
      </c>
      <c r="F74" s="92">
        <f>PMSID_3_4_A_D</f>
        <v>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88" t="s">
        <v>32</v>
      </c>
      <c r="C75" s="89">
        <v>0</v>
      </c>
      <c r="D75" s="89">
        <v>0</v>
      </c>
      <c r="E75" s="89">
        <v>0</v>
      </c>
      <c r="F75" s="89">
        <v>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88" t="s">
        <v>34</v>
      </c>
      <c r="C76" s="54">
        <v>0</v>
      </c>
      <c r="D76" s="54">
        <v>0</v>
      </c>
      <c r="E76" s="54">
        <v>0</v>
      </c>
      <c r="F76" s="54">
        <v>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99" t="s">
        <v>56</v>
      </c>
      <c r="C78" s="92">
        <f>PMSID_4_1_A_D</f>
        <v>0</v>
      </c>
      <c r="D78" s="92">
        <f>PMSID_4_2_A_D</f>
        <v>0</v>
      </c>
      <c r="E78" s="92">
        <f>PMSID_4_3_A_D</f>
        <v>0</v>
      </c>
      <c r="F78" s="92">
        <f>PMSID_4_4_A_D</f>
        <v>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88" t="s">
        <v>32</v>
      </c>
      <c r="C79" s="89">
        <v>0</v>
      </c>
      <c r="D79" s="89">
        <v>0</v>
      </c>
      <c r="E79" s="89">
        <v>0</v>
      </c>
      <c r="F79" s="89"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88" t="s">
        <v>34</v>
      </c>
      <c r="C80" s="54">
        <v>0</v>
      </c>
      <c r="D80" s="54">
        <v>0</v>
      </c>
      <c r="E80" s="54">
        <v>0</v>
      </c>
      <c r="F80" s="54">
        <v>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100" t="s">
        <v>2</v>
      </c>
      <c r="C82" s="163"/>
      <c r="D82" s="163"/>
      <c r="E82" s="163"/>
      <c r="F82" s="16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6" t="s">
        <v>106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6" t="s">
        <v>107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6" t="s">
        <v>108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6" t="s">
        <v>109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6" t="s">
        <v>110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n4xAbOOnfpYDpsM5j1HaLCSI5kw/RcfILgaPk1lMHgJnKxXMYx0kU4V+Dh0f9LjhnJF15Hc9l3zb68obj3amgQ==" saltValue="BpJHzdBdzDNTYBCWPk6tMw==" spinCount="100000" sheet="1" objects="1" scenarios="1"/>
  <dataConsolidate/>
  <mergeCells count="14">
    <mergeCell ref="C82:F82"/>
    <mergeCell ref="A1:A8"/>
    <mergeCell ref="B1:J1"/>
    <mergeCell ref="C9:K9"/>
    <mergeCell ref="C11:K11"/>
    <mergeCell ref="C8:K8"/>
    <mergeCell ref="B2:E2"/>
    <mergeCell ref="C3:E3"/>
    <mergeCell ref="C16:K16"/>
    <mergeCell ref="C10:K10"/>
    <mergeCell ref="C12:K12"/>
    <mergeCell ref="C15:K15"/>
    <mergeCell ref="C13:K13"/>
    <mergeCell ref="C14:K14"/>
  </mergeCells>
  <phoneticPr fontId="2" type="noConversion"/>
  <conditionalFormatting sqref="G4">
    <cfRule type="expression" dxfId="374" priority="233332">
      <formula>$G$4&gt;2.4</formula>
    </cfRule>
  </conditionalFormatting>
  <conditionalFormatting sqref="E7">
    <cfRule type="expression" dxfId="373" priority="87087">
      <formula>$E$7&lt;&gt;$G$6</formula>
    </cfRule>
  </conditionalFormatting>
  <conditionalFormatting sqref="C20">
    <cfRule type="expression" dxfId="372" priority="228">
      <formula>NOT(_xlfn.ISFORMULA(C20))</formula>
    </cfRule>
  </conditionalFormatting>
  <conditionalFormatting sqref="D20">
    <cfRule type="expression" dxfId="371" priority="227">
      <formula>NOT(_xlfn.ISFORMULA(D20))</formula>
    </cfRule>
  </conditionalFormatting>
  <conditionalFormatting sqref="E20">
    <cfRule type="expression" dxfId="370" priority="226">
      <formula>NOT(_xlfn.ISFORMULA(E20))</formula>
    </cfRule>
  </conditionalFormatting>
  <conditionalFormatting sqref="F20">
    <cfRule type="expression" dxfId="369" priority="225">
      <formula>NOT(_xlfn.ISFORMULA(F20))</formula>
    </cfRule>
  </conditionalFormatting>
  <conditionalFormatting sqref="C22">
    <cfRule type="cellIs" dxfId="368" priority="224" stopIfTrue="1" operator="equal">
      <formula>0</formula>
    </cfRule>
  </conditionalFormatting>
  <conditionalFormatting sqref="C24">
    <cfRule type="expression" dxfId="367" priority="223" stopIfTrue="1">
      <formula>C23=0</formula>
    </cfRule>
  </conditionalFormatting>
  <conditionalFormatting sqref="C23">
    <cfRule type="cellIs" dxfId="366" priority="221" stopIfTrue="1" operator="equal">
      <formula>0</formula>
    </cfRule>
    <cfRule type="cellIs" dxfId="365" priority="222" stopIfTrue="1" operator="notEqual">
      <formula>1</formula>
    </cfRule>
  </conditionalFormatting>
  <conditionalFormatting sqref="D22">
    <cfRule type="cellIs" dxfId="364" priority="220" stopIfTrue="1" operator="equal">
      <formula>0</formula>
    </cfRule>
  </conditionalFormatting>
  <conditionalFormatting sqref="D24">
    <cfRule type="expression" dxfId="363" priority="219" stopIfTrue="1">
      <formula>D23=0</formula>
    </cfRule>
  </conditionalFormatting>
  <conditionalFormatting sqref="D23">
    <cfRule type="cellIs" dxfId="362" priority="217" stopIfTrue="1" operator="equal">
      <formula>0</formula>
    </cfRule>
    <cfRule type="cellIs" dxfId="361" priority="218" stopIfTrue="1" operator="notEqual">
      <formula>1</formula>
    </cfRule>
  </conditionalFormatting>
  <conditionalFormatting sqref="E22">
    <cfRule type="cellIs" dxfId="360" priority="216" stopIfTrue="1" operator="equal">
      <formula>0</formula>
    </cfRule>
  </conditionalFormatting>
  <conditionalFormatting sqref="E24">
    <cfRule type="expression" dxfId="359" priority="215" stopIfTrue="1">
      <formula>E23=0</formula>
    </cfRule>
  </conditionalFormatting>
  <conditionalFormatting sqref="E23">
    <cfRule type="cellIs" dxfId="358" priority="213" stopIfTrue="1" operator="equal">
      <formula>0</formula>
    </cfRule>
    <cfRule type="cellIs" dxfId="357" priority="214" stopIfTrue="1" operator="notEqual">
      <formula>1</formula>
    </cfRule>
  </conditionalFormatting>
  <conditionalFormatting sqref="F22">
    <cfRule type="cellIs" dxfId="356" priority="212" stopIfTrue="1" operator="equal">
      <formula>0</formula>
    </cfRule>
  </conditionalFormatting>
  <conditionalFormatting sqref="F24">
    <cfRule type="expression" dxfId="355" priority="211" stopIfTrue="1">
      <formula>F23=0</formula>
    </cfRule>
  </conditionalFormatting>
  <conditionalFormatting sqref="F23">
    <cfRule type="cellIs" dxfId="354" priority="209" stopIfTrue="1" operator="equal">
      <formula>0</formula>
    </cfRule>
    <cfRule type="cellIs" dxfId="353" priority="210" stopIfTrue="1" operator="notEqual">
      <formula>1</formula>
    </cfRule>
  </conditionalFormatting>
  <conditionalFormatting sqref="C27">
    <cfRule type="cellIs" dxfId="352" priority="208" stopIfTrue="1" operator="equal">
      <formula>0</formula>
    </cfRule>
  </conditionalFormatting>
  <conditionalFormatting sqref="C29">
    <cfRule type="expression" dxfId="351" priority="207" stopIfTrue="1">
      <formula>C28=0</formula>
    </cfRule>
  </conditionalFormatting>
  <conditionalFormatting sqref="C28">
    <cfRule type="cellIs" dxfId="350" priority="205" stopIfTrue="1" operator="equal">
      <formula>0</formula>
    </cfRule>
    <cfRule type="cellIs" dxfId="349" priority="206" stopIfTrue="1" operator="notEqual">
      <formula>1</formula>
    </cfRule>
  </conditionalFormatting>
  <conditionalFormatting sqref="D27">
    <cfRule type="cellIs" dxfId="348" priority="204" stopIfTrue="1" operator="equal">
      <formula>0</formula>
    </cfRule>
  </conditionalFormatting>
  <conditionalFormatting sqref="D29">
    <cfRule type="expression" dxfId="347" priority="203" stopIfTrue="1">
      <formula>D28=0</formula>
    </cfRule>
  </conditionalFormatting>
  <conditionalFormatting sqref="D28">
    <cfRule type="cellIs" dxfId="346" priority="201" stopIfTrue="1" operator="equal">
      <formula>0</formula>
    </cfRule>
    <cfRule type="cellIs" dxfId="345" priority="202" stopIfTrue="1" operator="notEqual">
      <formula>1</formula>
    </cfRule>
  </conditionalFormatting>
  <conditionalFormatting sqref="E27">
    <cfRule type="cellIs" dxfId="344" priority="200" stopIfTrue="1" operator="equal">
      <formula>0</formula>
    </cfRule>
  </conditionalFormatting>
  <conditionalFormatting sqref="E29">
    <cfRule type="expression" dxfId="343" priority="199" stopIfTrue="1">
      <formula>E28=0</formula>
    </cfRule>
  </conditionalFormatting>
  <conditionalFormatting sqref="E28">
    <cfRule type="cellIs" dxfId="342" priority="197" stopIfTrue="1" operator="equal">
      <formula>0</formula>
    </cfRule>
    <cfRule type="cellIs" dxfId="341" priority="198" stopIfTrue="1" operator="notEqual">
      <formula>1</formula>
    </cfRule>
  </conditionalFormatting>
  <conditionalFormatting sqref="F27">
    <cfRule type="cellIs" dxfId="340" priority="196" stopIfTrue="1" operator="equal">
      <formula>0</formula>
    </cfRule>
  </conditionalFormatting>
  <conditionalFormatting sqref="F29">
    <cfRule type="expression" dxfId="339" priority="195" stopIfTrue="1">
      <formula>F28=0</formula>
    </cfRule>
  </conditionalFormatting>
  <conditionalFormatting sqref="F28">
    <cfRule type="cellIs" dxfId="338" priority="193" stopIfTrue="1" operator="equal">
      <formula>0</formula>
    </cfRule>
    <cfRule type="cellIs" dxfId="337" priority="194" stopIfTrue="1" operator="notEqual">
      <formula>1</formula>
    </cfRule>
  </conditionalFormatting>
  <conditionalFormatting sqref="C31">
    <cfRule type="cellIs" dxfId="336" priority="192" stopIfTrue="1" operator="equal">
      <formula>0</formula>
    </cfRule>
  </conditionalFormatting>
  <conditionalFormatting sqref="C33">
    <cfRule type="expression" dxfId="335" priority="191" stopIfTrue="1">
      <formula>C32=0</formula>
    </cfRule>
  </conditionalFormatting>
  <conditionalFormatting sqref="C32">
    <cfRule type="cellIs" dxfId="334" priority="189" stopIfTrue="1" operator="equal">
      <formula>0</formula>
    </cfRule>
    <cfRule type="cellIs" dxfId="333" priority="190" stopIfTrue="1" operator="notEqual">
      <formula>1</formula>
    </cfRule>
  </conditionalFormatting>
  <conditionalFormatting sqref="D31">
    <cfRule type="cellIs" dxfId="332" priority="188" stopIfTrue="1" operator="equal">
      <formula>0</formula>
    </cfRule>
  </conditionalFormatting>
  <conditionalFormatting sqref="D33">
    <cfRule type="expression" dxfId="331" priority="187" stopIfTrue="1">
      <formula>D32=0</formula>
    </cfRule>
  </conditionalFormatting>
  <conditionalFormatting sqref="D32">
    <cfRule type="cellIs" dxfId="330" priority="185" stopIfTrue="1" operator="equal">
      <formula>0</formula>
    </cfRule>
    <cfRule type="cellIs" dxfId="329" priority="186" stopIfTrue="1" operator="notEqual">
      <formula>1</formula>
    </cfRule>
  </conditionalFormatting>
  <conditionalFormatting sqref="E31">
    <cfRule type="cellIs" dxfId="328" priority="184" stopIfTrue="1" operator="equal">
      <formula>0</formula>
    </cfRule>
  </conditionalFormatting>
  <conditionalFormatting sqref="E33">
    <cfRule type="expression" dxfId="327" priority="183" stopIfTrue="1">
      <formula>E32=0</formula>
    </cfRule>
  </conditionalFormatting>
  <conditionalFormatting sqref="E32">
    <cfRule type="cellIs" dxfId="326" priority="181" stopIfTrue="1" operator="equal">
      <formula>0</formula>
    </cfRule>
    <cfRule type="cellIs" dxfId="325" priority="182" stopIfTrue="1" operator="notEqual">
      <formula>1</formula>
    </cfRule>
  </conditionalFormatting>
  <conditionalFormatting sqref="F31">
    <cfRule type="cellIs" dxfId="324" priority="180" stopIfTrue="1" operator="equal">
      <formula>0</formula>
    </cfRule>
  </conditionalFormatting>
  <conditionalFormatting sqref="F33">
    <cfRule type="expression" dxfId="323" priority="179" stopIfTrue="1">
      <formula>F32=0</formula>
    </cfRule>
  </conditionalFormatting>
  <conditionalFormatting sqref="F32">
    <cfRule type="cellIs" dxfId="322" priority="177" stopIfTrue="1" operator="equal">
      <formula>0</formula>
    </cfRule>
    <cfRule type="cellIs" dxfId="321" priority="178" stopIfTrue="1" operator="notEqual">
      <formula>1</formula>
    </cfRule>
  </conditionalFormatting>
  <conditionalFormatting sqref="C35">
    <cfRule type="cellIs" dxfId="320" priority="176" stopIfTrue="1" operator="equal">
      <formula>0</formula>
    </cfRule>
  </conditionalFormatting>
  <conditionalFormatting sqref="C37">
    <cfRule type="expression" dxfId="319" priority="175" stopIfTrue="1">
      <formula>C36=0</formula>
    </cfRule>
  </conditionalFormatting>
  <conditionalFormatting sqref="C36">
    <cfRule type="cellIs" dxfId="318" priority="173" stopIfTrue="1" operator="equal">
      <formula>0</formula>
    </cfRule>
    <cfRule type="cellIs" dxfId="317" priority="174" stopIfTrue="1" operator="notEqual">
      <formula>1</formula>
    </cfRule>
  </conditionalFormatting>
  <conditionalFormatting sqref="D35">
    <cfRule type="cellIs" dxfId="316" priority="172" stopIfTrue="1" operator="equal">
      <formula>0</formula>
    </cfRule>
  </conditionalFormatting>
  <conditionalFormatting sqref="D37">
    <cfRule type="expression" dxfId="315" priority="171" stopIfTrue="1">
      <formula>D36=0</formula>
    </cfRule>
  </conditionalFormatting>
  <conditionalFormatting sqref="D36">
    <cfRule type="cellIs" dxfId="314" priority="169" stopIfTrue="1" operator="equal">
      <formula>0</formula>
    </cfRule>
    <cfRule type="cellIs" dxfId="313" priority="170" stopIfTrue="1" operator="notEqual">
      <formula>1</formula>
    </cfRule>
  </conditionalFormatting>
  <conditionalFormatting sqref="E35">
    <cfRule type="cellIs" dxfId="312" priority="168" stopIfTrue="1" operator="equal">
      <formula>0</formula>
    </cfRule>
  </conditionalFormatting>
  <conditionalFormatting sqref="E37">
    <cfRule type="expression" dxfId="311" priority="167" stopIfTrue="1">
      <formula>E36=0</formula>
    </cfRule>
  </conditionalFormatting>
  <conditionalFormatting sqref="E36">
    <cfRule type="cellIs" dxfId="310" priority="165" stopIfTrue="1" operator="equal">
      <formula>0</formula>
    </cfRule>
    <cfRule type="cellIs" dxfId="309" priority="166" stopIfTrue="1" operator="notEqual">
      <formula>1</formula>
    </cfRule>
  </conditionalFormatting>
  <conditionalFormatting sqref="F35">
    <cfRule type="cellIs" dxfId="308" priority="164" stopIfTrue="1" operator="equal">
      <formula>0</formula>
    </cfRule>
  </conditionalFormatting>
  <conditionalFormatting sqref="F37">
    <cfRule type="expression" dxfId="307" priority="163" stopIfTrue="1">
      <formula>F36=0</formula>
    </cfRule>
  </conditionalFormatting>
  <conditionalFormatting sqref="F36">
    <cfRule type="cellIs" dxfId="306" priority="161" stopIfTrue="1" operator="equal">
      <formula>0</formula>
    </cfRule>
    <cfRule type="cellIs" dxfId="305" priority="162" stopIfTrue="1" operator="notEqual">
      <formula>1</formula>
    </cfRule>
  </conditionalFormatting>
  <conditionalFormatting sqref="C40">
    <cfRule type="cellIs" dxfId="304" priority="160" stopIfTrue="1" operator="equal">
      <formula>0</formula>
    </cfRule>
  </conditionalFormatting>
  <conditionalFormatting sqref="C42">
    <cfRule type="expression" dxfId="303" priority="159" stopIfTrue="1">
      <formula>C41=0</formula>
    </cfRule>
  </conditionalFormatting>
  <conditionalFormatting sqref="C41">
    <cfRule type="cellIs" dxfId="302" priority="157" stopIfTrue="1" operator="equal">
      <formula>0</formula>
    </cfRule>
    <cfRule type="cellIs" dxfId="301" priority="158" stopIfTrue="1" operator="notEqual">
      <formula>1</formula>
    </cfRule>
  </conditionalFormatting>
  <conditionalFormatting sqref="D40">
    <cfRule type="cellIs" dxfId="300" priority="156" stopIfTrue="1" operator="equal">
      <formula>0</formula>
    </cfRule>
  </conditionalFormatting>
  <conditionalFormatting sqref="D42">
    <cfRule type="expression" dxfId="299" priority="155" stopIfTrue="1">
      <formula>D41=0</formula>
    </cfRule>
  </conditionalFormatting>
  <conditionalFormatting sqref="D41">
    <cfRule type="cellIs" dxfId="298" priority="153" stopIfTrue="1" operator="equal">
      <formula>0</formula>
    </cfRule>
    <cfRule type="cellIs" dxfId="297" priority="154" stopIfTrue="1" operator="notEqual">
      <formula>1</formula>
    </cfRule>
  </conditionalFormatting>
  <conditionalFormatting sqref="E40">
    <cfRule type="cellIs" dxfId="296" priority="152" stopIfTrue="1" operator="equal">
      <formula>0</formula>
    </cfRule>
  </conditionalFormatting>
  <conditionalFormatting sqref="E42">
    <cfRule type="expression" dxfId="295" priority="151" stopIfTrue="1">
      <formula>E41=0</formula>
    </cfRule>
  </conditionalFormatting>
  <conditionalFormatting sqref="E41">
    <cfRule type="cellIs" dxfId="294" priority="149" stopIfTrue="1" operator="equal">
      <formula>0</formula>
    </cfRule>
    <cfRule type="cellIs" dxfId="293" priority="150" stopIfTrue="1" operator="notEqual">
      <formula>1</formula>
    </cfRule>
  </conditionalFormatting>
  <conditionalFormatting sqref="F40">
    <cfRule type="cellIs" dxfId="292" priority="148" stopIfTrue="1" operator="equal">
      <formula>0</formula>
    </cfRule>
  </conditionalFormatting>
  <conditionalFormatting sqref="F42">
    <cfRule type="expression" dxfId="291" priority="147" stopIfTrue="1">
      <formula>F41=0</formula>
    </cfRule>
  </conditionalFormatting>
  <conditionalFormatting sqref="F41">
    <cfRule type="cellIs" dxfId="290" priority="145" stopIfTrue="1" operator="equal">
      <formula>0</formula>
    </cfRule>
    <cfRule type="cellIs" dxfId="289" priority="146" stopIfTrue="1" operator="notEqual">
      <formula>1</formula>
    </cfRule>
  </conditionalFormatting>
  <conditionalFormatting sqref="C44">
    <cfRule type="cellIs" dxfId="288" priority="144" stopIfTrue="1" operator="equal">
      <formula>0</formula>
    </cfRule>
  </conditionalFormatting>
  <conditionalFormatting sqref="C46">
    <cfRule type="expression" dxfId="287" priority="143" stopIfTrue="1">
      <formula>C45=0</formula>
    </cfRule>
  </conditionalFormatting>
  <conditionalFormatting sqref="C45">
    <cfRule type="cellIs" dxfId="286" priority="141" stopIfTrue="1" operator="equal">
      <formula>0</formula>
    </cfRule>
    <cfRule type="cellIs" dxfId="285" priority="142" stopIfTrue="1" operator="notEqual">
      <formula>1</formula>
    </cfRule>
  </conditionalFormatting>
  <conditionalFormatting sqref="D44">
    <cfRule type="cellIs" dxfId="284" priority="140" stopIfTrue="1" operator="equal">
      <formula>0</formula>
    </cfRule>
  </conditionalFormatting>
  <conditionalFormatting sqref="D46">
    <cfRule type="expression" dxfId="283" priority="139" stopIfTrue="1">
      <formula>D45=0</formula>
    </cfRule>
  </conditionalFormatting>
  <conditionalFormatting sqref="D45">
    <cfRule type="cellIs" dxfId="282" priority="137" stopIfTrue="1" operator="equal">
      <formula>0</formula>
    </cfRule>
    <cfRule type="cellIs" dxfId="281" priority="138" stopIfTrue="1" operator="notEqual">
      <formula>1</formula>
    </cfRule>
  </conditionalFormatting>
  <conditionalFormatting sqref="E44">
    <cfRule type="cellIs" dxfId="280" priority="136" stopIfTrue="1" operator="equal">
      <formula>0</formula>
    </cfRule>
  </conditionalFormatting>
  <conditionalFormatting sqref="E46">
    <cfRule type="expression" dxfId="279" priority="135" stopIfTrue="1">
      <formula>E45=0</formula>
    </cfRule>
  </conditionalFormatting>
  <conditionalFormatting sqref="E45">
    <cfRule type="cellIs" dxfId="278" priority="133" stopIfTrue="1" operator="equal">
      <formula>0</formula>
    </cfRule>
    <cfRule type="cellIs" dxfId="277" priority="134" stopIfTrue="1" operator="notEqual">
      <formula>1</formula>
    </cfRule>
  </conditionalFormatting>
  <conditionalFormatting sqref="F44">
    <cfRule type="cellIs" dxfId="276" priority="132" stopIfTrue="1" operator="equal">
      <formula>0</formula>
    </cfRule>
  </conditionalFormatting>
  <conditionalFormatting sqref="F46">
    <cfRule type="expression" dxfId="275" priority="131" stopIfTrue="1">
      <formula>F45=0</formula>
    </cfRule>
  </conditionalFormatting>
  <conditionalFormatting sqref="F45">
    <cfRule type="cellIs" dxfId="274" priority="129" stopIfTrue="1" operator="equal">
      <formula>0</formula>
    </cfRule>
    <cfRule type="cellIs" dxfId="273" priority="130" stopIfTrue="1" operator="notEqual">
      <formula>1</formula>
    </cfRule>
  </conditionalFormatting>
  <conditionalFormatting sqref="C48">
    <cfRule type="cellIs" dxfId="272" priority="128" stopIfTrue="1" operator="equal">
      <formula>0</formula>
    </cfRule>
  </conditionalFormatting>
  <conditionalFormatting sqref="C50">
    <cfRule type="expression" dxfId="271" priority="127" stopIfTrue="1">
      <formula>C49=0</formula>
    </cfRule>
  </conditionalFormatting>
  <conditionalFormatting sqref="C49">
    <cfRule type="cellIs" dxfId="270" priority="125" stopIfTrue="1" operator="equal">
      <formula>0</formula>
    </cfRule>
    <cfRule type="cellIs" dxfId="269" priority="126" stopIfTrue="1" operator="notEqual">
      <formula>1</formula>
    </cfRule>
  </conditionalFormatting>
  <conditionalFormatting sqref="D48">
    <cfRule type="cellIs" dxfId="268" priority="124" stopIfTrue="1" operator="equal">
      <formula>0</formula>
    </cfRule>
  </conditionalFormatting>
  <conditionalFormatting sqref="D50">
    <cfRule type="expression" dxfId="267" priority="123" stopIfTrue="1">
      <formula>D49=0</formula>
    </cfRule>
  </conditionalFormatting>
  <conditionalFormatting sqref="D49">
    <cfRule type="cellIs" dxfId="266" priority="121" stopIfTrue="1" operator="equal">
      <formula>0</formula>
    </cfRule>
    <cfRule type="cellIs" dxfId="265" priority="122" stopIfTrue="1" operator="notEqual">
      <formula>1</formula>
    </cfRule>
  </conditionalFormatting>
  <conditionalFormatting sqref="E48">
    <cfRule type="cellIs" dxfId="264" priority="120" stopIfTrue="1" operator="equal">
      <formula>0</formula>
    </cfRule>
  </conditionalFormatting>
  <conditionalFormatting sqref="E50">
    <cfRule type="expression" dxfId="263" priority="119" stopIfTrue="1">
      <formula>E49=0</formula>
    </cfRule>
  </conditionalFormatting>
  <conditionalFormatting sqref="E49">
    <cfRule type="cellIs" dxfId="262" priority="117" stopIfTrue="1" operator="equal">
      <formula>0</formula>
    </cfRule>
    <cfRule type="cellIs" dxfId="261" priority="118" stopIfTrue="1" operator="notEqual">
      <formula>1</formula>
    </cfRule>
  </conditionalFormatting>
  <conditionalFormatting sqref="F48">
    <cfRule type="cellIs" dxfId="260" priority="116" stopIfTrue="1" operator="equal">
      <formula>0</formula>
    </cfRule>
  </conditionalFormatting>
  <conditionalFormatting sqref="F50">
    <cfRule type="expression" dxfId="259" priority="115" stopIfTrue="1">
      <formula>F49=0</formula>
    </cfRule>
  </conditionalFormatting>
  <conditionalFormatting sqref="F49">
    <cfRule type="cellIs" dxfId="258" priority="113" stopIfTrue="1" operator="equal">
      <formula>0</formula>
    </cfRule>
    <cfRule type="cellIs" dxfId="257" priority="114" stopIfTrue="1" operator="notEqual">
      <formula>1</formula>
    </cfRule>
  </conditionalFormatting>
  <conditionalFormatting sqref="C52">
    <cfRule type="cellIs" dxfId="256" priority="112" stopIfTrue="1" operator="equal">
      <formula>0</formula>
    </cfRule>
  </conditionalFormatting>
  <conditionalFormatting sqref="C54">
    <cfRule type="expression" dxfId="255" priority="111" stopIfTrue="1">
      <formula>C53=0</formula>
    </cfRule>
  </conditionalFormatting>
  <conditionalFormatting sqref="C53">
    <cfRule type="cellIs" dxfId="254" priority="109" stopIfTrue="1" operator="equal">
      <formula>0</formula>
    </cfRule>
    <cfRule type="cellIs" dxfId="253" priority="110" stopIfTrue="1" operator="notEqual">
      <formula>1</formula>
    </cfRule>
  </conditionalFormatting>
  <conditionalFormatting sqref="D52">
    <cfRule type="cellIs" dxfId="252" priority="108" stopIfTrue="1" operator="equal">
      <formula>0</formula>
    </cfRule>
  </conditionalFormatting>
  <conditionalFormatting sqref="D54">
    <cfRule type="expression" dxfId="251" priority="107" stopIfTrue="1">
      <formula>D53=0</formula>
    </cfRule>
  </conditionalFormatting>
  <conditionalFormatting sqref="D53">
    <cfRule type="cellIs" dxfId="250" priority="105" stopIfTrue="1" operator="equal">
      <formula>0</formula>
    </cfRule>
    <cfRule type="cellIs" dxfId="249" priority="106" stopIfTrue="1" operator="notEqual">
      <formula>1</formula>
    </cfRule>
  </conditionalFormatting>
  <conditionalFormatting sqref="E52">
    <cfRule type="cellIs" dxfId="248" priority="104" stopIfTrue="1" operator="equal">
      <formula>0</formula>
    </cfRule>
  </conditionalFormatting>
  <conditionalFormatting sqref="E54">
    <cfRule type="expression" dxfId="247" priority="103" stopIfTrue="1">
      <formula>E53=0</formula>
    </cfRule>
  </conditionalFormatting>
  <conditionalFormatting sqref="E53">
    <cfRule type="cellIs" dxfId="246" priority="101" stopIfTrue="1" operator="equal">
      <formula>0</formula>
    </cfRule>
    <cfRule type="cellIs" dxfId="245" priority="102" stopIfTrue="1" operator="notEqual">
      <formula>1</formula>
    </cfRule>
  </conditionalFormatting>
  <conditionalFormatting sqref="F52">
    <cfRule type="cellIs" dxfId="244" priority="100" stopIfTrue="1" operator="equal">
      <formula>0</formula>
    </cfRule>
  </conditionalFormatting>
  <conditionalFormatting sqref="F54">
    <cfRule type="expression" dxfId="243" priority="99" stopIfTrue="1">
      <formula>F53=0</formula>
    </cfRule>
  </conditionalFormatting>
  <conditionalFormatting sqref="F53">
    <cfRule type="cellIs" dxfId="242" priority="97" stopIfTrue="1" operator="equal">
      <formula>0</formula>
    </cfRule>
    <cfRule type="cellIs" dxfId="241" priority="98" stopIfTrue="1" operator="notEqual">
      <formula>1</formula>
    </cfRule>
  </conditionalFormatting>
  <conditionalFormatting sqref="C56">
    <cfRule type="cellIs" dxfId="240" priority="96" stopIfTrue="1" operator="equal">
      <formula>0</formula>
    </cfRule>
  </conditionalFormatting>
  <conditionalFormatting sqref="C58">
    <cfRule type="expression" dxfId="239" priority="95" stopIfTrue="1">
      <formula>C57=0</formula>
    </cfRule>
  </conditionalFormatting>
  <conditionalFormatting sqref="C57">
    <cfRule type="cellIs" dxfId="238" priority="93" stopIfTrue="1" operator="equal">
      <formula>0</formula>
    </cfRule>
    <cfRule type="cellIs" dxfId="237" priority="94" stopIfTrue="1" operator="notEqual">
      <formula>1</formula>
    </cfRule>
  </conditionalFormatting>
  <conditionalFormatting sqref="D56">
    <cfRule type="cellIs" dxfId="236" priority="92" stopIfTrue="1" operator="equal">
      <formula>0</formula>
    </cfRule>
  </conditionalFormatting>
  <conditionalFormatting sqref="D58">
    <cfRule type="expression" dxfId="235" priority="91" stopIfTrue="1">
      <formula>D57=0</formula>
    </cfRule>
  </conditionalFormatting>
  <conditionalFormatting sqref="D57">
    <cfRule type="cellIs" dxfId="234" priority="89" stopIfTrue="1" operator="equal">
      <formula>0</formula>
    </cfRule>
    <cfRule type="cellIs" dxfId="233" priority="90" stopIfTrue="1" operator="notEqual">
      <formula>1</formula>
    </cfRule>
  </conditionalFormatting>
  <conditionalFormatting sqref="E56">
    <cfRule type="cellIs" dxfId="232" priority="88" stopIfTrue="1" operator="equal">
      <formula>0</formula>
    </cfRule>
  </conditionalFormatting>
  <conditionalFormatting sqref="E58">
    <cfRule type="expression" dxfId="231" priority="87" stopIfTrue="1">
      <formula>E57=0</formula>
    </cfRule>
  </conditionalFormatting>
  <conditionalFormatting sqref="E57">
    <cfRule type="cellIs" dxfId="230" priority="85" stopIfTrue="1" operator="equal">
      <formula>0</formula>
    </cfRule>
    <cfRule type="cellIs" dxfId="229" priority="86" stopIfTrue="1" operator="notEqual">
      <formula>1</formula>
    </cfRule>
  </conditionalFormatting>
  <conditionalFormatting sqref="F56">
    <cfRule type="cellIs" dxfId="228" priority="84" stopIfTrue="1" operator="equal">
      <formula>0</formula>
    </cfRule>
  </conditionalFormatting>
  <conditionalFormatting sqref="F58">
    <cfRule type="expression" dxfId="227" priority="83" stopIfTrue="1">
      <formula>F57=0</formula>
    </cfRule>
  </conditionalFormatting>
  <conditionalFormatting sqref="F57">
    <cfRule type="cellIs" dxfId="226" priority="81" stopIfTrue="1" operator="equal">
      <formula>0</formula>
    </cfRule>
    <cfRule type="cellIs" dxfId="225" priority="82" stopIfTrue="1" operator="notEqual">
      <formula>1</formula>
    </cfRule>
  </conditionalFormatting>
  <conditionalFormatting sqref="C61">
    <cfRule type="cellIs" dxfId="224" priority="80" stopIfTrue="1" operator="equal">
      <formula>0</formula>
    </cfRule>
  </conditionalFormatting>
  <conditionalFormatting sqref="C63">
    <cfRule type="expression" dxfId="223" priority="79" stopIfTrue="1">
      <formula>C62=0</formula>
    </cfRule>
  </conditionalFormatting>
  <conditionalFormatting sqref="C62">
    <cfRule type="cellIs" dxfId="222" priority="77" stopIfTrue="1" operator="equal">
      <formula>0</formula>
    </cfRule>
    <cfRule type="cellIs" dxfId="221" priority="78" stopIfTrue="1" operator="notEqual">
      <formula>1</formula>
    </cfRule>
  </conditionalFormatting>
  <conditionalFormatting sqref="D61">
    <cfRule type="cellIs" dxfId="220" priority="76" stopIfTrue="1" operator="equal">
      <formula>0</formula>
    </cfRule>
  </conditionalFormatting>
  <conditionalFormatting sqref="D63">
    <cfRule type="expression" dxfId="219" priority="75" stopIfTrue="1">
      <formula>D62=0</formula>
    </cfRule>
  </conditionalFormatting>
  <conditionalFormatting sqref="D62">
    <cfRule type="cellIs" dxfId="218" priority="73" stopIfTrue="1" operator="equal">
      <formula>0</formula>
    </cfRule>
    <cfRule type="cellIs" dxfId="217" priority="74" stopIfTrue="1" operator="notEqual">
      <formula>1</formula>
    </cfRule>
  </conditionalFormatting>
  <conditionalFormatting sqref="E61">
    <cfRule type="cellIs" dxfId="216" priority="72" stopIfTrue="1" operator="equal">
      <formula>0</formula>
    </cfRule>
  </conditionalFormatting>
  <conditionalFormatting sqref="E63">
    <cfRule type="expression" dxfId="215" priority="71" stopIfTrue="1">
      <formula>E62=0</formula>
    </cfRule>
  </conditionalFormatting>
  <conditionalFormatting sqref="E62">
    <cfRule type="cellIs" dxfId="214" priority="69" stopIfTrue="1" operator="equal">
      <formula>0</formula>
    </cfRule>
    <cfRule type="cellIs" dxfId="213" priority="70" stopIfTrue="1" operator="notEqual">
      <formula>1</formula>
    </cfRule>
  </conditionalFormatting>
  <conditionalFormatting sqref="F61">
    <cfRule type="cellIs" dxfId="212" priority="68" stopIfTrue="1" operator="equal">
      <formula>0</formula>
    </cfRule>
  </conditionalFormatting>
  <conditionalFormatting sqref="F63">
    <cfRule type="expression" dxfId="211" priority="67" stopIfTrue="1">
      <formula>F62=0</formula>
    </cfRule>
  </conditionalFormatting>
  <conditionalFormatting sqref="F62">
    <cfRule type="cellIs" dxfId="210" priority="65" stopIfTrue="1" operator="equal">
      <formula>0</formula>
    </cfRule>
    <cfRule type="cellIs" dxfId="209" priority="66" stopIfTrue="1" operator="notEqual">
      <formula>1</formula>
    </cfRule>
  </conditionalFormatting>
  <conditionalFormatting sqref="C66">
    <cfRule type="cellIs" dxfId="208" priority="64" stopIfTrue="1" operator="equal">
      <formula>0</formula>
    </cfRule>
  </conditionalFormatting>
  <conditionalFormatting sqref="C68">
    <cfRule type="expression" dxfId="207" priority="63" stopIfTrue="1">
      <formula>C67=0</formula>
    </cfRule>
  </conditionalFormatting>
  <conditionalFormatting sqref="C67">
    <cfRule type="cellIs" dxfId="206" priority="61" stopIfTrue="1" operator="equal">
      <formula>0</formula>
    </cfRule>
    <cfRule type="cellIs" dxfId="205" priority="62" stopIfTrue="1" operator="notEqual">
      <formula>1</formula>
    </cfRule>
  </conditionalFormatting>
  <conditionalFormatting sqref="D66">
    <cfRule type="cellIs" dxfId="204" priority="60" stopIfTrue="1" operator="equal">
      <formula>0</formula>
    </cfRule>
  </conditionalFormatting>
  <conditionalFormatting sqref="D68">
    <cfRule type="expression" dxfId="203" priority="59" stopIfTrue="1">
      <formula>D67=0</formula>
    </cfRule>
  </conditionalFormatting>
  <conditionalFormatting sqref="D67">
    <cfRule type="cellIs" dxfId="202" priority="57" stopIfTrue="1" operator="equal">
      <formula>0</formula>
    </cfRule>
    <cfRule type="cellIs" dxfId="201" priority="58" stopIfTrue="1" operator="notEqual">
      <formula>1</formula>
    </cfRule>
  </conditionalFormatting>
  <conditionalFormatting sqref="E66">
    <cfRule type="cellIs" dxfId="200" priority="56" stopIfTrue="1" operator="equal">
      <formula>0</formula>
    </cfRule>
  </conditionalFormatting>
  <conditionalFormatting sqref="E68">
    <cfRule type="expression" dxfId="199" priority="55" stopIfTrue="1">
      <formula>E67=0</formula>
    </cfRule>
  </conditionalFormatting>
  <conditionalFormatting sqref="E67">
    <cfRule type="cellIs" dxfId="198" priority="53" stopIfTrue="1" operator="equal">
      <formula>0</formula>
    </cfRule>
    <cfRule type="cellIs" dxfId="197" priority="54" stopIfTrue="1" operator="notEqual">
      <formula>1</formula>
    </cfRule>
  </conditionalFormatting>
  <conditionalFormatting sqref="F66">
    <cfRule type="cellIs" dxfId="196" priority="52" stopIfTrue="1" operator="equal">
      <formula>0</formula>
    </cfRule>
  </conditionalFormatting>
  <conditionalFormatting sqref="F68">
    <cfRule type="expression" dxfId="195" priority="51" stopIfTrue="1">
      <formula>F67=0</formula>
    </cfRule>
  </conditionalFormatting>
  <conditionalFormatting sqref="F67">
    <cfRule type="cellIs" dxfId="194" priority="49" stopIfTrue="1" operator="equal">
      <formula>0</formula>
    </cfRule>
    <cfRule type="cellIs" dxfId="193" priority="50" stopIfTrue="1" operator="notEqual">
      <formula>1</formula>
    </cfRule>
  </conditionalFormatting>
  <conditionalFormatting sqref="C70">
    <cfRule type="cellIs" dxfId="192" priority="48" stopIfTrue="1" operator="equal">
      <formula>0</formula>
    </cfRule>
  </conditionalFormatting>
  <conditionalFormatting sqref="C72">
    <cfRule type="expression" dxfId="191" priority="47" stopIfTrue="1">
      <formula>C71=0</formula>
    </cfRule>
  </conditionalFormatting>
  <conditionalFormatting sqref="C71">
    <cfRule type="cellIs" dxfId="190" priority="45" stopIfTrue="1" operator="equal">
      <formula>0</formula>
    </cfRule>
    <cfRule type="cellIs" dxfId="189" priority="46" stopIfTrue="1" operator="notEqual">
      <formula>1</formula>
    </cfRule>
  </conditionalFormatting>
  <conditionalFormatting sqref="D70">
    <cfRule type="cellIs" dxfId="188" priority="44" stopIfTrue="1" operator="equal">
      <formula>0</formula>
    </cfRule>
  </conditionalFormatting>
  <conditionalFormatting sqref="D72">
    <cfRule type="expression" dxfId="187" priority="43" stopIfTrue="1">
      <formula>D71=0</formula>
    </cfRule>
  </conditionalFormatting>
  <conditionalFormatting sqref="D71">
    <cfRule type="cellIs" dxfId="186" priority="41" stopIfTrue="1" operator="equal">
      <formula>0</formula>
    </cfRule>
    <cfRule type="cellIs" dxfId="185" priority="42" stopIfTrue="1" operator="notEqual">
      <formula>1</formula>
    </cfRule>
  </conditionalFormatting>
  <conditionalFormatting sqref="E70">
    <cfRule type="cellIs" dxfId="184" priority="40" stopIfTrue="1" operator="equal">
      <formula>0</formula>
    </cfRule>
  </conditionalFormatting>
  <conditionalFormatting sqref="E72">
    <cfRule type="expression" dxfId="183" priority="39" stopIfTrue="1">
      <formula>E71=0</formula>
    </cfRule>
  </conditionalFormatting>
  <conditionalFormatting sqref="E71">
    <cfRule type="cellIs" dxfId="182" priority="37" stopIfTrue="1" operator="equal">
      <formula>0</formula>
    </cfRule>
    <cfRule type="cellIs" dxfId="181" priority="38" stopIfTrue="1" operator="notEqual">
      <formula>1</formula>
    </cfRule>
  </conditionalFormatting>
  <conditionalFormatting sqref="F70">
    <cfRule type="cellIs" dxfId="180" priority="36" stopIfTrue="1" operator="equal">
      <formula>0</formula>
    </cfRule>
  </conditionalFormatting>
  <conditionalFormatting sqref="F72">
    <cfRule type="expression" dxfId="179" priority="35" stopIfTrue="1">
      <formula>F71=0</formula>
    </cfRule>
  </conditionalFormatting>
  <conditionalFormatting sqref="F71">
    <cfRule type="cellIs" dxfId="178" priority="33" stopIfTrue="1" operator="equal">
      <formula>0</formula>
    </cfRule>
    <cfRule type="cellIs" dxfId="177" priority="34" stopIfTrue="1" operator="notEqual">
      <formula>1</formula>
    </cfRule>
  </conditionalFormatting>
  <conditionalFormatting sqref="C74">
    <cfRule type="cellIs" dxfId="176" priority="32" stopIfTrue="1" operator="equal">
      <formula>0</formula>
    </cfRule>
  </conditionalFormatting>
  <conditionalFormatting sqref="C76">
    <cfRule type="expression" dxfId="175" priority="31" stopIfTrue="1">
      <formula>C75=0</formula>
    </cfRule>
  </conditionalFormatting>
  <conditionalFormatting sqref="C75">
    <cfRule type="cellIs" dxfId="174" priority="29" stopIfTrue="1" operator="equal">
      <formula>0</formula>
    </cfRule>
    <cfRule type="cellIs" dxfId="173" priority="30" stopIfTrue="1" operator="notEqual">
      <formula>1</formula>
    </cfRule>
  </conditionalFormatting>
  <conditionalFormatting sqref="D74">
    <cfRule type="cellIs" dxfId="172" priority="28" stopIfTrue="1" operator="equal">
      <formula>0</formula>
    </cfRule>
  </conditionalFormatting>
  <conditionalFormatting sqref="D76">
    <cfRule type="expression" dxfId="171" priority="27" stopIfTrue="1">
      <formula>D75=0</formula>
    </cfRule>
  </conditionalFormatting>
  <conditionalFormatting sqref="D75">
    <cfRule type="cellIs" dxfId="170" priority="25" stopIfTrue="1" operator="equal">
      <formula>0</formula>
    </cfRule>
    <cfRule type="cellIs" dxfId="169" priority="26" stopIfTrue="1" operator="notEqual">
      <formula>1</formula>
    </cfRule>
  </conditionalFormatting>
  <conditionalFormatting sqref="E74">
    <cfRule type="cellIs" dxfId="168" priority="24" stopIfTrue="1" operator="equal">
      <formula>0</formula>
    </cfRule>
  </conditionalFormatting>
  <conditionalFormatting sqref="E76">
    <cfRule type="expression" dxfId="167" priority="23" stopIfTrue="1">
      <formula>E75=0</formula>
    </cfRule>
  </conditionalFormatting>
  <conditionalFormatting sqref="E75">
    <cfRule type="cellIs" dxfId="166" priority="21" stopIfTrue="1" operator="equal">
      <formula>0</formula>
    </cfRule>
    <cfRule type="cellIs" dxfId="165" priority="22" stopIfTrue="1" operator="notEqual">
      <formula>1</formula>
    </cfRule>
  </conditionalFormatting>
  <conditionalFormatting sqref="F74">
    <cfRule type="cellIs" dxfId="164" priority="20" stopIfTrue="1" operator="equal">
      <formula>0</formula>
    </cfRule>
  </conditionalFormatting>
  <conditionalFormatting sqref="F76">
    <cfRule type="expression" dxfId="163" priority="19" stopIfTrue="1">
      <formula>F75=0</formula>
    </cfRule>
  </conditionalFormatting>
  <conditionalFormatting sqref="F75">
    <cfRule type="cellIs" dxfId="162" priority="17" stopIfTrue="1" operator="equal">
      <formula>0</formula>
    </cfRule>
    <cfRule type="cellIs" dxfId="161" priority="18" stopIfTrue="1" operator="notEqual">
      <formula>1</formula>
    </cfRule>
  </conditionalFormatting>
  <conditionalFormatting sqref="C78">
    <cfRule type="cellIs" dxfId="160" priority="16" stopIfTrue="1" operator="equal">
      <formula>0</formula>
    </cfRule>
  </conditionalFormatting>
  <conditionalFormatting sqref="C80">
    <cfRule type="expression" dxfId="159" priority="15" stopIfTrue="1">
      <formula>C79=0</formula>
    </cfRule>
  </conditionalFormatting>
  <conditionalFormatting sqref="C79">
    <cfRule type="cellIs" dxfId="158" priority="13" stopIfTrue="1" operator="equal">
      <formula>0</formula>
    </cfRule>
    <cfRule type="cellIs" dxfId="157" priority="14" stopIfTrue="1" operator="notEqual">
      <formula>1</formula>
    </cfRule>
  </conditionalFormatting>
  <conditionalFormatting sqref="D78">
    <cfRule type="cellIs" dxfId="156" priority="12" stopIfTrue="1" operator="equal">
      <formula>0</formula>
    </cfRule>
  </conditionalFormatting>
  <conditionalFormatting sqref="D80">
    <cfRule type="expression" dxfId="155" priority="11" stopIfTrue="1">
      <formula>D79=0</formula>
    </cfRule>
  </conditionalFormatting>
  <conditionalFormatting sqref="D79">
    <cfRule type="cellIs" dxfId="154" priority="9" stopIfTrue="1" operator="equal">
      <formula>0</formula>
    </cfRule>
    <cfRule type="cellIs" dxfId="153" priority="10" stopIfTrue="1" operator="notEqual">
      <formula>1</formula>
    </cfRule>
  </conditionalFormatting>
  <conditionalFormatting sqref="E78">
    <cfRule type="cellIs" dxfId="152" priority="8" stopIfTrue="1" operator="equal">
      <formula>0</formula>
    </cfRule>
  </conditionalFormatting>
  <conditionalFormatting sqref="E80">
    <cfRule type="expression" dxfId="151" priority="7" stopIfTrue="1">
      <formula>E79=0</formula>
    </cfRule>
  </conditionalFormatting>
  <conditionalFormatting sqref="E79">
    <cfRule type="cellIs" dxfId="150" priority="5" stopIfTrue="1" operator="equal">
      <formula>0</formula>
    </cfRule>
    <cfRule type="cellIs" dxfId="149" priority="6" stopIfTrue="1" operator="notEqual">
      <formula>1</formula>
    </cfRule>
  </conditionalFormatting>
  <conditionalFormatting sqref="F78">
    <cfRule type="cellIs" dxfId="148" priority="4" stopIfTrue="1" operator="equal">
      <formula>0</formula>
    </cfRule>
  </conditionalFormatting>
  <conditionalFormatting sqref="F80">
    <cfRule type="expression" dxfId="147" priority="3" stopIfTrue="1">
      <formula>F79=0</formula>
    </cfRule>
  </conditionalFormatting>
  <conditionalFormatting sqref="F79">
    <cfRule type="cellIs" dxfId="146" priority="1" stopIfTrue="1" operator="equal">
      <formula>0</formula>
    </cfRule>
    <cfRule type="cellIs" dxfId="145" priority="2" stopIfTrue="1" operator="notEqual">
      <formula>1</formula>
    </cfRule>
  </conditionalFormatting>
  <dataValidations count="22">
    <dataValidation type="list" allowBlank="1" showInputMessage="1" showErrorMessage="1" sqref="I4:I5">
      <formula1>"-,rechts,links"</formula1>
    </dataValidation>
    <dataValidation type="decimal" allowBlank="1" showInputMessage="1" showErrorMessage="1" errorTitle="Grenzwerte" error="Nur Werte zwischen 0,3 und 5,0 erlaubt!" sqref="C5">
      <formula1>0.3</formula1>
      <formula2>5</formula2>
    </dataValidation>
    <dataValidation type="decimal" allowBlank="1" showInputMessage="1" showErrorMessage="1" errorTitle="Grenzwerte" error="Nur Werte zwischen 120 und 220 erlaubt!" sqref="C4">
      <formula1>120</formula1>
      <formula2>220</formula2>
    </dataValidation>
    <dataValidation type="decimal" allowBlank="1" showInputMessage="1" showErrorMessage="1" errorTitle="Greunzwerte" error="Nur Werte zwischen 40 und 250 erlaubt!" sqref="E4">
      <formula1>40</formula1>
      <formula2>250</formula2>
    </dataValidation>
    <dataValidation operator="lessThan" allowBlank="1" showInputMessage="1" showErrorMessage="1" sqref="M1"/>
    <dataValidation type="whole" operator="greaterThan" allowBlank="1" showInputMessage="1" showErrorMessage="1" errorTitle="Achtung" error="Nur ganze Zahlen größer 0 erlaubt." sqref="E7 C6">
      <formula1>0</formula1>
    </dataValidation>
    <dataValidation type="whole" operator="greaterThan" allowBlank="1" showInputMessage="1" showErrorMessage="1" errorTitle="AChtung" error="Nur ganze Zahlen erlaubt." sqref="E6">
      <formula1>0</formula1>
    </dataValidation>
    <dataValidation type="date" allowBlank="1" showInputMessage="1" showErrorMessage="1" errorTitle="Achtung" error="Nur Datumswerte TT.MM.JJJJ erlaubt." sqref="I7">
      <formula1>36526</formula1>
      <formula2>402133</formula2>
    </dataValidation>
    <dataValidation type="date" allowBlank="1" showInputMessage="1" showErrorMessage="1" errorTitle="Achtung" error="Nur Datumswerte TT.MM.JJJJ kleiner als heutiges Datum erlaubt." sqref="G2">
      <formula1>1</formula1>
      <formula2>TODAY()</formula2>
    </dataValidation>
    <dataValidation type="date" allowBlank="1" showInputMessage="1" showErrorMessage="1" errorTitle="Achtung" error="Nur Datumswerte TT.MM.JJJJ kleiner 1.1.2050 erlaubt." sqref="E5">
      <formula1>36526</formula1>
      <formula2>55153</formula2>
    </dataValidation>
    <dataValidation type="date" allowBlank="1" showInputMessage="1" showErrorMessage="1" errorTitle="Achtung" error="Nur Datumswerte TT.MM.JJJJ erlaubt." sqref="K3">
      <formula1>29221</formula1>
      <formula2>402133</formula2>
    </dataValidation>
    <dataValidation type="date" allowBlank="1" showInputMessage="1" showErrorMessage="1" errorTitle="Achtung" error="Nur Datumswerte TT.MM.JJJJ erlaubt." sqref="C7">
      <formula1>36526</formula1>
      <formula2>55153</formula2>
    </dataValidation>
    <dataValidation type="date" allowBlank="1" showInputMessage="1" showErrorMessage="1" sqref="C20:F20">
      <formula1>36526</formula1>
      <formula2>55153</formula2>
    </dataValidation>
    <dataValidation type="decimal" allowBlank="1" showInputMessage="1" showErrorMessage="1" promptTitle="Dosismodifikation" prompt="0-150%" sqref="C23:F23 C28:F28 C32:F32 C36:F36 C41:F41 C45:F45 C49:F49 C53:F53 C57:F57 C62:F62 C67:F67 C71:F71 C75:F75 C79:F79">
      <formula1>0</formula1>
      <formula2>15</formula2>
    </dataValidation>
    <dataValidation type="list" allowBlank="1" showInputMessage="1" showErrorMessage="1" prompt="Applikation festlegen" sqref="B67">
      <formula1>Applikationsarten</formula1>
    </dataValidation>
    <dataValidation type="list" allowBlank="1" showInputMessage="1" showErrorMessage="1" prompt="Einheit festlegen" sqref="B68">
      <formula1>Einheiten</formula1>
    </dataValidation>
    <dataValidation type="list" allowBlank="1" showInputMessage="1" showErrorMessage="1" prompt="Applikation festlegen" sqref="B71">
      <formula1>Applikationsarten</formula1>
    </dataValidation>
    <dataValidation type="list" allowBlank="1" showInputMessage="1" showErrorMessage="1" prompt="Einheit festlegen" sqref="B72">
      <formula1>Einheiten</formula1>
    </dataValidation>
    <dataValidation type="list" allowBlank="1" showInputMessage="1" showErrorMessage="1" prompt="Applikation festlegen" sqref="B75">
      <formula1>Applikationsarten</formula1>
    </dataValidation>
    <dataValidation type="list" allowBlank="1" showInputMessage="1" showErrorMessage="1" prompt="Einheit festlegen" sqref="B76">
      <formula1>Einheiten</formula1>
    </dataValidation>
    <dataValidation type="list" allowBlank="1" showInputMessage="1" showErrorMessage="1" prompt="Applikation festlegen" sqref="B79">
      <formula1>Applikationsarten</formula1>
    </dataValidation>
    <dataValidation type="list" allowBlank="1" showInputMessage="1" showErrorMessage="1" prompt="Einheit festlegen" sqref="B80">
      <formula1>Einheiten</formula1>
    </dataValidation>
  </dataValidations>
  <hyperlinks>
    <hyperlink ref="B1" r:id="rId1" tooltip="Online Protokoll"/>
    <hyperlink ref="C14" r:id="rId2"/>
    <hyperlink ref="C15" r:id="rId3"/>
    <hyperlink ref="C16" r:id="rId4"/>
  </hyperlinks>
  <pageMargins left="0" right="0" top="0.78740157480314965" bottom="0.78740157480314965" header="0" footer="0"/>
  <pageSetup paperSize="9" scale="75" fitToHeight="0" orientation="landscape" r:id="rId5"/>
  <headerFooter>
    <oddHeader>&amp;C&amp;G&amp;LOnk. Amb. privat_x000D_Telefon: 1234_x000D_Fax: 5678&amp;RPraxis_x000D_Prof. Dr. Hans Mustermann_x000D_Onkologische Ambulanz</oddHeader>
    <oddFooter>&amp;LAnordnung (Vorname, Name, Datum)&amp;CDie Herausgeber und Autoren übernehmen keine Haftung für die Richtigkeit der Inhalte._x000D_Eine Plausibilitätsprüfung des Therapieplans durch den Arzt ist erforderlich.&amp;ROnkopti® (PID=47 V1.2)_x000D_02.09.2021 10:10:41_x000D_&amp;P/&amp;N</oddFooter>
  </headerFooter>
  <legacy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ZZ100"/>
  <sheetViews>
    <sheetView showGridLines="0" zoomScaleNormal="100" workbookViewId="0">
      <selection activeCell="B44" sqref="B44"/>
    </sheetView>
  </sheetViews>
  <sheetFormatPr defaultColWidth="11.42578125" defaultRowHeight="12.75" x14ac:dyDescent="0.2"/>
  <cols>
    <col min="1" max="1" width="3.7109375" customWidth="1"/>
    <col min="2" max="2" width="31.140625" customWidth="1"/>
    <col min="3" max="3" width="3.7109375" style="4" customWidth="1"/>
    <col min="4" max="9" width="3.28515625" style="4" customWidth="1"/>
    <col min="10" max="10" width="3.5703125" style="4" bestFit="1" customWidth="1"/>
    <col min="11" max="112" width="3.28515625" style="4" customWidth="1"/>
    <col min="113" max="113" width="1.7109375" customWidth="1"/>
  </cols>
  <sheetData>
    <row r="1" spans="1:702" ht="37.5" customHeight="1" x14ac:dyDescent="0.25">
      <c r="A1" s="164" t="s">
        <v>57</v>
      </c>
      <c r="B1" s="196" t="str">
        <f>Protokollname</f>
        <v>FOLFIRINOX - Oxaliplatin 85 / Folinsäure 400 / Irinotecan 180 / Fluorouracil 2400, metastasiertes Pankreaskarzinom (PID=47 V1.2)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4"/>
      <c r="AI1" s="14"/>
      <c r="AJ1" s="15"/>
      <c r="AK1" s="15"/>
      <c r="AL1" s="15"/>
      <c r="AM1" s="38" t="str">
        <f>"Zyklusdiagramm Z" &amp; Zyklusnummer</f>
        <v>Zyklusdiagramm Z1</v>
      </c>
      <c r="AN1" s="15"/>
      <c r="AO1" s="15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</row>
    <row r="2" spans="1:702" ht="15.75" x14ac:dyDescent="0.25">
      <c r="A2" s="164"/>
      <c r="B2" s="201" t="str">
        <f>IF(PatientName="","",PatientName)</f>
        <v>Doe, John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204" t="s">
        <v>46</v>
      </c>
      <c r="O2" s="204"/>
      <c r="P2" s="204"/>
      <c r="Q2" s="204"/>
      <c r="R2" s="188">
        <f>PatientGeboren</f>
        <v>21916</v>
      </c>
      <c r="S2" s="188"/>
      <c r="T2" s="188"/>
      <c r="U2" s="188"/>
      <c r="V2" s="216" t="s">
        <v>49</v>
      </c>
      <c r="W2" s="216"/>
      <c r="X2" s="216"/>
      <c r="Y2" s="216"/>
      <c r="Z2" s="216"/>
      <c r="AA2" s="206" t="str">
        <f ca="1">DATEDIF(PatientGeboren,NOW(),"y")&amp;"J "&amp;MOD(DATEDIF(PatientGeboren,NOW(),"m"),12)&amp;"M"</f>
        <v>61J 8M</v>
      </c>
      <c r="AB2" s="206"/>
      <c r="AC2" s="206"/>
      <c r="AD2" s="206"/>
      <c r="AE2" s="190" t="s">
        <v>5</v>
      </c>
      <c r="AF2" s="191"/>
      <c r="AG2" s="191"/>
      <c r="AH2" s="191"/>
      <c r="AI2" s="191"/>
      <c r="AJ2" s="189" t="str">
        <f>PatientGeschlecht</f>
        <v>m</v>
      </c>
      <c r="AK2" s="189"/>
      <c r="AL2" s="189"/>
      <c r="AM2" s="189"/>
      <c r="AN2" s="17"/>
      <c r="AO2" s="17"/>
      <c r="AP2" s="17"/>
      <c r="AQ2" s="16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</row>
    <row r="3" spans="1:702" x14ac:dyDescent="0.2">
      <c r="A3" s="164"/>
      <c r="B3" s="39" t="s">
        <v>6</v>
      </c>
      <c r="C3" s="183" t="str">
        <f>IF(Diagnose="","",Diagnose)</f>
        <v>Pankreaskarzinom</v>
      </c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94" t="s">
        <v>7</v>
      </c>
      <c r="O3" s="194"/>
      <c r="P3" s="194"/>
      <c r="Q3" s="194"/>
      <c r="R3" s="189" t="str">
        <f>IF(Stadium="","",Stadium)</f>
        <v>IV</v>
      </c>
      <c r="S3" s="189"/>
      <c r="T3" s="189"/>
      <c r="U3" s="189"/>
      <c r="V3" s="194" t="s">
        <v>44</v>
      </c>
      <c r="W3" s="194"/>
      <c r="X3" s="194"/>
      <c r="Y3" s="194"/>
      <c r="Z3" s="194"/>
      <c r="AA3" s="208" t="str">
        <f>IF(Therapiemodus&lt;&gt;"",Therapiemodus,"")</f>
        <v>Erstlinie</v>
      </c>
      <c r="AB3" s="209"/>
      <c r="AC3" s="209"/>
      <c r="AD3" s="210"/>
      <c r="AE3" s="191" t="s">
        <v>8</v>
      </c>
      <c r="AF3" s="191"/>
      <c r="AG3" s="191"/>
      <c r="AH3" s="191"/>
      <c r="AI3" s="191"/>
      <c r="AJ3" s="189">
        <f>IF(PatientID="","",PatientID)</f>
        <v>3</v>
      </c>
      <c r="AK3" s="189"/>
      <c r="AL3" s="189"/>
      <c r="AM3" s="189"/>
      <c r="AN3" s="17"/>
      <c r="AO3" s="17"/>
      <c r="AP3" s="17"/>
      <c r="AQ3" s="16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</row>
    <row r="4" spans="1:702" x14ac:dyDescent="0.2">
      <c r="A4" s="164"/>
      <c r="B4" s="39" t="s">
        <v>35</v>
      </c>
      <c r="C4" s="198">
        <f>GroesseCM</f>
        <v>170</v>
      </c>
      <c r="D4" s="198"/>
      <c r="E4" s="198"/>
      <c r="F4" s="194" t="s">
        <v>38</v>
      </c>
      <c r="G4" s="194"/>
      <c r="H4" s="194"/>
      <c r="I4" s="194"/>
      <c r="J4" s="197">
        <f>KG</f>
        <v>75</v>
      </c>
      <c r="K4" s="197"/>
      <c r="L4" s="197"/>
      <c r="M4" s="197"/>
      <c r="N4" s="194" t="s">
        <v>39</v>
      </c>
      <c r="O4" s="194"/>
      <c r="P4" s="194"/>
      <c r="Q4" s="194"/>
      <c r="R4" s="199">
        <f>KOF</f>
        <v>1.8619954939793939</v>
      </c>
      <c r="S4" s="200"/>
      <c r="T4" s="200"/>
      <c r="U4" s="200"/>
      <c r="V4" s="194" t="s">
        <v>40</v>
      </c>
      <c r="W4" s="194"/>
      <c r="X4" s="194"/>
      <c r="Y4" s="194"/>
      <c r="Z4" s="194"/>
      <c r="AA4" s="189" t="str">
        <f>PatientInfusionsarm</f>
        <v>rechts</v>
      </c>
      <c r="AB4" s="189"/>
      <c r="AC4" s="189"/>
      <c r="AD4" s="189"/>
      <c r="AE4" s="190" t="s">
        <v>47</v>
      </c>
      <c r="AF4" s="194"/>
      <c r="AG4" s="194"/>
      <c r="AH4" s="194"/>
      <c r="AI4" s="194"/>
      <c r="AJ4" s="189">
        <f>IF(Auftragsnummer="","",Auftragsnummer)</f>
        <v>3</v>
      </c>
      <c r="AK4" s="189"/>
      <c r="AL4" s="189"/>
      <c r="AM4" s="189"/>
      <c r="AN4" s="17"/>
      <c r="AO4" s="17"/>
      <c r="AP4" s="17"/>
      <c r="AQ4" s="16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</row>
    <row r="5" spans="1:702" x14ac:dyDescent="0.2">
      <c r="A5" s="164"/>
      <c r="B5" s="39" t="s">
        <v>36</v>
      </c>
      <c r="C5" s="211">
        <f>PatientSerumKreatinin</f>
        <v>0.8</v>
      </c>
      <c r="D5" s="212"/>
      <c r="E5" s="213"/>
      <c r="F5" s="192" t="str">
        <f>"GFR " &amp; shortGFR(sGFR)</f>
        <v>GFR NM</v>
      </c>
      <c r="G5" s="193"/>
      <c r="H5" s="193"/>
      <c r="I5" s="193"/>
      <c r="J5" s="205">
        <f ca="1">PatientKreatininClearance</f>
        <v>98.988629165216764</v>
      </c>
      <c r="K5" s="205"/>
      <c r="L5" s="205"/>
      <c r="M5" s="205"/>
      <c r="N5" s="207" t="s">
        <v>43</v>
      </c>
      <c r="O5" s="207"/>
      <c r="P5" s="207"/>
      <c r="Q5" s="207"/>
      <c r="R5" s="195">
        <f>PatientSerumKreatininDatum</f>
        <v>44445</v>
      </c>
      <c r="S5" s="195"/>
      <c r="T5" s="195"/>
      <c r="U5" s="195"/>
      <c r="V5" s="194" t="s">
        <v>41</v>
      </c>
      <c r="W5" s="194"/>
      <c r="X5" s="194"/>
      <c r="Y5" s="194"/>
      <c r="Z5" s="194"/>
      <c r="AA5" s="189" t="str">
        <f>PatientPort</f>
        <v>rechts</v>
      </c>
      <c r="AB5" s="189"/>
      <c r="AC5" s="189"/>
      <c r="AD5" s="189"/>
      <c r="AE5" s="217"/>
      <c r="AF5" s="218"/>
      <c r="AG5" s="218"/>
      <c r="AH5" s="218"/>
      <c r="AI5" s="218"/>
      <c r="AJ5" s="10"/>
      <c r="AK5" s="10"/>
      <c r="AL5" s="10"/>
      <c r="AM5" s="10"/>
      <c r="AN5" s="34"/>
      <c r="AO5" s="34"/>
      <c r="AP5" s="34"/>
      <c r="AQ5" s="16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</row>
    <row r="6" spans="1:702" x14ac:dyDescent="0.2">
      <c r="A6" s="164"/>
      <c r="B6" s="39" t="s">
        <v>48</v>
      </c>
      <c r="C6" s="206">
        <f>Zyklusnummer</f>
        <v>1</v>
      </c>
      <c r="D6" s="206"/>
      <c r="E6" s="206"/>
      <c r="F6" s="190" t="s">
        <v>19</v>
      </c>
      <c r="G6" s="191"/>
      <c r="H6" s="191"/>
      <c r="I6" s="191"/>
      <c r="J6" s="208">
        <f>EmpfZyklen</f>
        <v>12</v>
      </c>
      <c r="K6" s="209"/>
      <c r="L6" s="209"/>
      <c r="M6" s="210"/>
      <c r="N6" s="204" t="s">
        <v>26</v>
      </c>
      <c r="O6" s="204"/>
      <c r="P6" s="204"/>
      <c r="Q6" s="204"/>
      <c r="R6" s="189">
        <f>IntervallTage</f>
        <v>14</v>
      </c>
      <c r="S6" s="189"/>
      <c r="T6" s="189"/>
      <c r="U6" s="189"/>
      <c r="V6" s="194" t="s">
        <v>58</v>
      </c>
      <c r="W6" s="194"/>
      <c r="X6" s="194"/>
      <c r="Y6" s="194"/>
      <c r="Z6" s="194"/>
      <c r="AA6" s="188">
        <f>Therapiebeginn</f>
        <v>44445</v>
      </c>
      <c r="AB6" s="188"/>
      <c r="AC6" s="188"/>
      <c r="AD6" s="188"/>
      <c r="AE6" s="192" t="s">
        <v>27</v>
      </c>
      <c r="AF6" s="193"/>
      <c r="AG6" s="193"/>
      <c r="AH6" s="193"/>
      <c r="AI6" s="193"/>
      <c r="AJ6" s="188">
        <f>nächsterZyklus</f>
        <v>44459</v>
      </c>
      <c r="AK6" s="188"/>
      <c r="AL6" s="188"/>
      <c r="AM6" s="188"/>
      <c r="AN6" s="35"/>
      <c r="AO6" s="35"/>
      <c r="AP6" s="35"/>
      <c r="AQ6" s="16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</row>
    <row r="7" spans="1:702" x14ac:dyDescent="0.2">
      <c r="A7" s="164"/>
      <c r="B7" s="38" t="s">
        <v>52</v>
      </c>
      <c r="C7" s="19" t="str">
        <f>Dateipfad</f>
        <v>c:\Protokolle</v>
      </c>
      <c r="D7" s="16"/>
      <c r="E7" s="16"/>
      <c r="F7" s="17"/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</row>
    <row r="8" spans="1:702" x14ac:dyDescent="0.2">
      <c r="A8" s="164"/>
      <c r="B8" s="5"/>
      <c r="C8" s="33"/>
      <c r="D8" s="17"/>
      <c r="E8" s="17"/>
      <c r="F8" s="17"/>
      <c r="G8" s="17"/>
      <c r="H8" s="17"/>
      <c r="I8" s="1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</row>
    <row r="9" spans="1:702" x14ac:dyDescent="0.2">
      <c r="A9" s="5"/>
      <c r="B9" s="5"/>
      <c r="C9" s="32"/>
      <c r="D9" s="32"/>
      <c r="E9" s="32"/>
      <c r="F9" s="36"/>
      <c r="G9" s="36"/>
      <c r="H9" s="36"/>
      <c r="I9" s="3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</row>
    <row r="10" spans="1:702" x14ac:dyDescent="0.2">
      <c r="A10" s="5"/>
      <c r="B10" s="67"/>
      <c r="C10" s="214" t="str">
        <f>"Woche " &amp; IF(C12&lt;0,C12/7,I12/7)</f>
        <v>Woche 1</v>
      </c>
      <c r="D10" s="215"/>
      <c r="E10" s="215"/>
      <c r="F10" s="215"/>
      <c r="G10" s="215"/>
      <c r="H10" s="215"/>
      <c r="I10" s="21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</row>
    <row r="11" spans="1:702" x14ac:dyDescent="0.2">
      <c r="A11" s="5"/>
      <c r="B11" s="58"/>
      <c r="C11" s="59">
        <f>PDateOV_1</f>
        <v>44445</v>
      </c>
      <c r="D11" s="59">
        <f>PDateOV_2</f>
        <v>44446</v>
      </c>
      <c r="E11" s="59">
        <f>PDateOV_3</f>
        <v>44447</v>
      </c>
      <c r="F11" s="59">
        <f>PDateOV_4</f>
        <v>44448</v>
      </c>
      <c r="G11" s="59">
        <f t="shared" ref="G11:I11" si="0">F11+1</f>
        <v>44449</v>
      </c>
      <c r="H11" s="59">
        <f t="shared" si="0"/>
        <v>44450</v>
      </c>
      <c r="I11" s="59">
        <f t="shared" si="0"/>
        <v>44451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</row>
    <row r="12" spans="1:702" x14ac:dyDescent="0.2">
      <c r="A12" s="5"/>
      <c r="B12" s="60" t="s">
        <v>119</v>
      </c>
      <c r="C12" s="61">
        <v>1</v>
      </c>
      <c r="D12" s="61">
        <f>IF(C12=-1,1,C12+1)</f>
        <v>2</v>
      </c>
      <c r="E12" s="61">
        <f t="shared" ref="E12:I12" si="1">IF(D12=-1,1,D12+1)</f>
        <v>3</v>
      </c>
      <c r="F12" s="61">
        <f t="shared" si="1"/>
        <v>4</v>
      </c>
      <c r="G12" s="61">
        <f t="shared" si="1"/>
        <v>5</v>
      </c>
      <c r="H12" s="61">
        <f t="shared" si="1"/>
        <v>6</v>
      </c>
      <c r="I12" s="61">
        <f t="shared" si="1"/>
        <v>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</row>
    <row r="13" spans="1:702" x14ac:dyDescent="0.2">
      <c r="A13" s="5"/>
      <c r="B13" s="57" t="s">
        <v>97</v>
      </c>
      <c r="C13" s="62"/>
      <c r="D13" s="61"/>
      <c r="E13" s="61"/>
      <c r="F13" s="61"/>
      <c r="G13" s="61"/>
      <c r="H13" s="61"/>
      <c r="I13" s="6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</row>
    <row r="14" spans="1:702" x14ac:dyDescent="0.2">
      <c r="A14" s="5"/>
      <c r="B14" s="63" t="s">
        <v>120</v>
      </c>
      <c r="C14" s="61"/>
      <c r="D14" s="61"/>
      <c r="E14" s="61"/>
      <c r="F14" s="61"/>
      <c r="G14" s="61"/>
      <c r="H14" s="61"/>
      <c r="I14" s="6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</row>
    <row r="15" spans="1:702" x14ac:dyDescent="0.2">
      <c r="A15" s="5"/>
      <c r="B15" s="57" t="s">
        <v>98</v>
      </c>
      <c r="C15" s="62"/>
      <c r="D15" s="61"/>
      <c r="E15" s="61"/>
      <c r="F15" s="61"/>
      <c r="G15" s="61"/>
      <c r="H15" s="61"/>
      <c r="I15" s="6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</row>
    <row r="16" spans="1:702" x14ac:dyDescent="0.2">
      <c r="A16" s="5"/>
      <c r="B16" s="57" t="s">
        <v>99</v>
      </c>
      <c r="C16" s="62"/>
      <c r="D16" s="61"/>
      <c r="E16" s="61"/>
      <c r="F16" s="61"/>
      <c r="G16" s="61"/>
      <c r="H16" s="61"/>
      <c r="I16" s="6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</row>
    <row r="17" spans="1:702" x14ac:dyDescent="0.2">
      <c r="A17" s="5"/>
      <c r="B17" s="57" t="s">
        <v>100</v>
      </c>
      <c r="C17" s="61"/>
      <c r="D17" s="62"/>
      <c r="E17" s="62"/>
      <c r="F17" s="61"/>
      <c r="G17" s="61"/>
      <c r="H17" s="61"/>
      <c r="I17" s="6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</row>
    <row r="18" spans="1:702" x14ac:dyDescent="0.2">
      <c r="A18" s="5"/>
      <c r="B18" s="64" t="s">
        <v>121</v>
      </c>
      <c r="C18" s="61"/>
      <c r="D18" s="61"/>
      <c r="E18" s="61"/>
      <c r="F18" s="61"/>
      <c r="G18" s="61"/>
      <c r="H18" s="61"/>
      <c r="I18" s="6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</row>
    <row r="19" spans="1:702" x14ac:dyDescent="0.2">
      <c r="A19" s="5"/>
      <c r="B19" s="57" t="s">
        <v>101</v>
      </c>
      <c r="C19" s="62"/>
      <c r="D19" s="61"/>
      <c r="E19" s="61"/>
      <c r="F19" s="61"/>
      <c r="G19" s="61"/>
      <c r="H19" s="61"/>
      <c r="I19" s="6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</row>
    <row r="20" spans="1:702" x14ac:dyDescent="0.2">
      <c r="A20" s="5"/>
      <c r="B20" s="57" t="s">
        <v>102</v>
      </c>
      <c r="C20" s="62"/>
      <c r="D20" s="61"/>
      <c r="E20" s="61"/>
      <c r="F20" s="61"/>
      <c r="G20" s="61"/>
      <c r="H20" s="61"/>
      <c r="I20" s="6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</row>
    <row r="21" spans="1:702" x14ac:dyDescent="0.2">
      <c r="A21" s="5"/>
      <c r="B21" s="57" t="s">
        <v>103</v>
      </c>
      <c r="C21" s="62"/>
      <c r="D21" s="61"/>
      <c r="E21" s="61"/>
      <c r="F21" s="61"/>
      <c r="G21" s="61"/>
      <c r="H21" s="61"/>
      <c r="I21" s="6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</row>
    <row r="22" spans="1:702" x14ac:dyDescent="0.2">
      <c r="A22" s="5"/>
      <c r="B22" s="57" t="s">
        <v>104</v>
      </c>
      <c r="C22" s="62"/>
      <c r="D22" s="61"/>
      <c r="E22" s="61"/>
      <c r="F22" s="61"/>
      <c r="G22" s="61"/>
      <c r="H22" s="61"/>
      <c r="I22" s="6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</row>
    <row r="23" spans="1:702" x14ac:dyDescent="0.2">
      <c r="A23" s="5"/>
      <c r="B23" s="57" t="s">
        <v>104</v>
      </c>
      <c r="C23" s="62"/>
      <c r="D23" s="61"/>
      <c r="E23" s="61"/>
      <c r="F23" s="61"/>
      <c r="G23" s="61"/>
      <c r="H23" s="61"/>
      <c r="I23" s="6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</row>
    <row r="24" spans="1:702" x14ac:dyDescent="0.2">
      <c r="A24" s="5"/>
      <c r="B24" s="65" t="s">
        <v>122</v>
      </c>
      <c r="C24" s="61"/>
      <c r="D24" s="61"/>
      <c r="E24" s="61"/>
      <c r="F24" s="61"/>
      <c r="G24" s="61"/>
      <c r="H24" s="61"/>
      <c r="I24" s="6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</row>
    <row r="25" spans="1:702" x14ac:dyDescent="0.2">
      <c r="A25" s="5"/>
      <c r="B25" s="57" t="s">
        <v>105</v>
      </c>
      <c r="C25" s="61"/>
      <c r="D25" s="61"/>
      <c r="E25" s="61"/>
      <c r="F25" s="62"/>
      <c r="G25" s="61"/>
      <c r="H25" s="61"/>
      <c r="I25" s="6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</row>
    <row r="26" spans="1:702" x14ac:dyDescent="0.2">
      <c r="A26" s="5"/>
      <c r="B26" s="66" t="s">
        <v>123</v>
      </c>
      <c r="C26" s="61"/>
      <c r="D26" s="61"/>
      <c r="E26" s="61"/>
      <c r="F26" s="61"/>
      <c r="G26" s="61"/>
      <c r="H26" s="61"/>
      <c r="I26" s="6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</row>
    <row r="27" spans="1:702" x14ac:dyDescent="0.2">
      <c r="A27" s="5"/>
      <c r="B27" s="57" t="s">
        <v>56</v>
      </c>
      <c r="C27" s="61"/>
      <c r="D27" s="61"/>
      <c r="E27" s="61"/>
      <c r="F27" s="61"/>
      <c r="G27" s="61"/>
      <c r="H27" s="61"/>
      <c r="I27" s="6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</row>
    <row r="28" spans="1:702" x14ac:dyDescent="0.2">
      <c r="A28" s="5"/>
      <c r="B28" s="57" t="s">
        <v>56</v>
      </c>
      <c r="C28" s="61"/>
      <c r="D28" s="61"/>
      <c r="E28" s="61"/>
      <c r="F28" s="61"/>
      <c r="G28" s="61"/>
      <c r="H28" s="61"/>
      <c r="I28" s="6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</row>
    <row r="29" spans="1:702" x14ac:dyDescent="0.2">
      <c r="A29" s="5"/>
      <c r="B29" s="57" t="s">
        <v>56</v>
      </c>
      <c r="C29" s="61"/>
      <c r="D29" s="61"/>
      <c r="E29" s="61"/>
      <c r="F29" s="61"/>
      <c r="G29" s="61"/>
      <c r="H29" s="61"/>
      <c r="I29" s="6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</row>
    <row r="30" spans="1:702" x14ac:dyDescent="0.2">
      <c r="A30" s="5"/>
      <c r="B30" s="57" t="s">
        <v>56</v>
      </c>
      <c r="C30" s="61"/>
      <c r="D30" s="61"/>
      <c r="E30" s="61"/>
      <c r="F30" s="61"/>
      <c r="G30" s="61"/>
      <c r="H30" s="61"/>
      <c r="I30" s="6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</row>
    <row r="31" spans="1:702" x14ac:dyDescent="0.2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</row>
    <row r="32" spans="1:702" x14ac:dyDescent="0.2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</row>
    <row r="33" spans="1:702" x14ac:dyDescent="0.2">
      <c r="A33" s="5"/>
      <c r="B33" s="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</row>
    <row r="34" spans="1:702" x14ac:dyDescent="0.2">
      <c r="A34" s="5"/>
      <c r="B34" s="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</row>
    <row r="35" spans="1:702" x14ac:dyDescent="0.2">
      <c r="A35" s="5"/>
      <c r="B35" s="5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</row>
    <row r="36" spans="1:702" x14ac:dyDescent="0.2">
      <c r="A36" s="5"/>
      <c r="B36" s="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</row>
    <row r="37" spans="1:702" x14ac:dyDescent="0.2">
      <c r="A37" s="5"/>
      <c r="B37" s="2" t="s">
        <v>2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</row>
    <row r="38" spans="1:702" x14ac:dyDescent="0.2">
      <c r="A38" s="5"/>
      <c r="B38" s="56" t="s">
        <v>106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</row>
    <row r="39" spans="1:702" x14ac:dyDescent="0.2">
      <c r="A39" s="5"/>
      <c r="B39" s="56" t="s">
        <v>107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</row>
    <row r="40" spans="1:702" x14ac:dyDescent="0.2">
      <c r="A40" s="5"/>
      <c r="B40" s="56" t="s">
        <v>108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</row>
    <row r="41" spans="1:702" x14ac:dyDescent="0.2">
      <c r="A41" s="5"/>
      <c r="B41" s="56" t="s">
        <v>109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</row>
    <row r="42" spans="1:702" x14ac:dyDescent="0.2">
      <c r="A42" s="5"/>
      <c r="B42" s="56" t="s">
        <v>110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</row>
    <row r="43" spans="1:702" x14ac:dyDescent="0.2">
      <c r="A43" s="5"/>
      <c r="B43" s="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</row>
    <row r="44" spans="1:702" x14ac:dyDescent="0.2">
      <c r="A44" s="5"/>
      <c r="B44" s="2" t="s">
        <v>30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</row>
    <row r="45" spans="1:702" ht="14.1" customHeight="1" x14ac:dyDescent="0.2">
      <c r="A45" s="5"/>
      <c r="B45" s="68" t="s">
        <v>61</v>
      </c>
      <c r="C45" s="219" t="s">
        <v>124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1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</row>
    <row r="46" spans="1:702" ht="14.1" customHeight="1" x14ac:dyDescent="0.2">
      <c r="A46" s="5"/>
      <c r="B46" s="69" t="s">
        <v>69</v>
      </c>
      <c r="C46" s="219" t="s">
        <v>125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1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</row>
    <row r="47" spans="1:702" ht="14.1" customHeight="1" x14ac:dyDescent="0.2">
      <c r="A47" s="5"/>
      <c r="B47" s="70" t="s">
        <v>81</v>
      </c>
      <c r="C47" s="219" t="s">
        <v>126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1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</row>
    <row r="48" spans="1:702" ht="14.1" customHeight="1" x14ac:dyDescent="0.2">
      <c r="A48" s="5"/>
      <c r="B48" s="70" t="s">
        <v>84</v>
      </c>
      <c r="C48" s="219" t="s">
        <v>127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1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</row>
    <row r="49" spans="1:702" ht="42" customHeight="1" x14ac:dyDescent="0.2">
      <c r="A49" s="5"/>
      <c r="B49" s="70" t="s">
        <v>84</v>
      </c>
      <c r="C49" s="219" t="s">
        <v>128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1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</row>
    <row r="50" spans="1:702" ht="14.1" customHeight="1" x14ac:dyDescent="0.2">
      <c r="A50" s="5"/>
      <c r="B50" s="71" t="s">
        <v>90</v>
      </c>
      <c r="C50" s="219" t="s">
        <v>129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1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</row>
    <row r="51" spans="1:702" x14ac:dyDescent="0.2">
      <c r="A51" s="5"/>
      <c r="B51" s="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</row>
    <row r="52" spans="1:702" x14ac:dyDescent="0.2">
      <c r="A52" s="5"/>
      <c r="B52" s="5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</row>
    <row r="53" spans="1:702" x14ac:dyDescent="0.2">
      <c r="A53" s="5"/>
      <c r="B53" s="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</row>
    <row r="54" spans="1:702" x14ac:dyDescent="0.2">
      <c r="A54" s="5"/>
      <c r="B54" s="5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</row>
    <row r="55" spans="1:702" x14ac:dyDescent="0.2">
      <c r="A55" s="5"/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</row>
    <row r="56" spans="1:702" x14ac:dyDescent="0.2">
      <c r="A56" s="5"/>
      <c r="B56" s="5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</row>
    <row r="57" spans="1:702" x14ac:dyDescent="0.2">
      <c r="A57" s="5"/>
      <c r="B57" s="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</row>
    <row r="58" spans="1:702" x14ac:dyDescent="0.2">
      <c r="A58" s="5"/>
      <c r="B58" s="5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</row>
    <row r="59" spans="1:702" x14ac:dyDescent="0.2">
      <c r="A59" s="5"/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</row>
    <row r="60" spans="1:702" x14ac:dyDescent="0.2">
      <c r="A60" s="5"/>
      <c r="B60" s="5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</row>
    <row r="61" spans="1:702" x14ac:dyDescent="0.2">
      <c r="A61" s="5"/>
      <c r="B61" s="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</row>
    <row r="62" spans="1:702" x14ac:dyDescent="0.2">
      <c r="A62" s="5"/>
      <c r="B62" s="5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</row>
    <row r="63" spans="1:702" x14ac:dyDescent="0.2">
      <c r="A63" s="5"/>
      <c r="B63" s="5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</row>
    <row r="64" spans="1:702" x14ac:dyDescent="0.2">
      <c r="A64" s="5"/>
      <c r="B64" s="5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</row>
    <row r="65" spans="1:702" x14ac:dyDescent="0.2">
      <c r="A65" s="5"/>
      <c r="B65" s="5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</row>
    <row r="66" spans="1:702" x14ac:dyDescent="0.2">
      <c r="A66" s="5"/>
      <c r="B66" s="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</row>
    <row r="67" spans="1:702" x14ac:dyDescent="0.2">
      <c r="A67" s="5"/>
      <c r="B67" s="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</row>
    <row r="68" spans="1:702" x14ac:dyDescent="0.2">
      <c r="A68" s="5"/>
      <c r="B68" s="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</row>
    <row r="69" spans="1:702" x14ac:dyDescent="0.2">
      <c r="A69" s="5"/>
      <c r="B69" s="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</row>
    <row r="70" spans="1:702" x14ac:dyDescent="0.2">
      <c r="A70" s="5"/>
      <c r="B70" s="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</row>
    <row r="71" spans="1:702" x14ac:dyDescent="0.2">
      <c r="A71" s="5"/>
      <c r="B71" s="5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</row>
    <row r="72" spans="1:702" x14ac:dyDescent="0.2">
      <c r="A72" s="5"/>
      <c r="B72" s="5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5"/>
      <c r="UO72" s="5"/>
      <c r="UP72" s="5"/>
      <c r="UQ72" s="5"/>
      <c r="UR72" s="5"/>
      <c r="US72" s="5"/>
      <c r="UT72" s="5"/>
      <c r="UU72" s="5"/>
      <c r="UV72" s="5"/>
      <c r="UW72" s="5"/>
      <c r="UX72" s="5"/>
      <c r="UY72" s="5"/>
      <c r="UZ72" s="5"/>
      <c r="VA72" s="5"/>
      <c r="VB72" s="5"/>
      <c r="VC72" s="5"/>
      <c r="VD72" s="5"/>
      <c r="VE72" s="5"/>
      <c r="VF72" s="5"/>
      <c r="VG72" s="5"/>
      <c r="VH72" s="5"/>
      <c r="VI72" s="5"/>
      <c r="VJ72" s="5"/>
      <c r="VK72" s="5"/>
      <c r="VL72" s="5"/>
      <c r="VM72" s="5"/>
      <c r="VN72" s="5"/>
      <c r="VO72" s="5"/>
      <c r="VP72" s="5"/>
      <c r="VQ72" s="5"/>
      <c r="VR72" s="5"/>
      <c r="VS72" s="5"/>
      <c r="VT72" s="5"/>
      <c r="VU72" s="5"/>
      <c r="VV72" s="5"/>
      <c r="VW72" s="5"/>
      <c r="VX72" s="5"/>
      <c r="VY72" s="5"/>
      <c r="VZ72" s="5"/>
      <c r="WA72" s="5"/>
      <c r="WB72" s="5"/>
      <c r="WC72" s="5"/>
      <c r="WD72" s="5"/>
      <c r="WE72" s="5"/>
      <c r="WF72" s="5"/>
      <c r="WG72" s="5"/>
      <c r="WH72" s="5"/>
      <c r="WI72" s="5"/>
      <c r="WJ72" s="5"/>
      <c r="WK72" s="5"/>
      <c r="WL72" s="5"/>
      <c r="WM72" s="5"/>
      <c r="WN72" s="5"/>
      <c r="WO72" s="5"/>
      <c r="WP72" s="5"/>
      <c r="WQ72" s="5"/>
      <c r="WR72" s="5"/>
      <c r="WS72" s="5"/>
      <c r="WT72" s="5"/>
      <c r="WU72" s="5"/>
      <c r="WV72" s="5"/>
      <c r="WW72" s="5"/>
      <c r="WX72" s="5"/>
      <c r="WY72" s="5"/>
      <c r="WZ72" s="5"/>
      <c r="XA72" s="5"/>
      <c r="XB72" s="5"/>
      <c r="XC72" s="5"/>
      <c r="XD72" s="5"/>
      <c r="XE72" s="5"/>
      <c r="XF72" s="5"/>
      <c r="XG72" s="5"/>
      <c r="XH72" s="5"/>
      <c r="XI72" s="5"/>
      <c r="XJ72" s="5"/>
      <c r="XK72" s="5"/>
      <c r="XL72" s="5"/>
      <c r="XM72" s="5"/>
      <c r="XN72" s="5"/>
      <c r="XO72" s="5"/>
      <c r="XP72" s="5"/>
      <c r="XQ72" s="5"/>
      <c r="XR72" s="5"/>
      <c r="XS72" s="5"/>
      <c r="XT72" s="5"/>
      <c r="XU72" s="5"/>
      <c r="XV72" s="5"/>
      <c r="XW72" s="5"/>
      <c r="XX72" s="5"/>
      <c r="XY72" s="5"/>
      <c r="XZ72" s="5"/>
      <c r="YA72" s="5"/>
      <c r="YB72" s="5"/>
      <c r="YC72" s="5"/>
      <c r="YD72" s="5"/>
      <c r="YE72" s="5"/>
      <c r="YF72" s="5"/>
      <c r="YG72" s="5"/>
      <c r="YH72" s="5"/>
      <c r="YI72" s="5"/>
      <c r="YJ72" s="5"/>
      <c r="YK72" s="5"/>
      <c r="YL72" s="5"/>
      <c r="YM72" s="5"/>
      <c r="YN72" s="5"/>
      <c r="YO72" s="5"/>
      <c r="YP72" s="5"/>
      <c r="YQ72" s="5"/>
      <c r="YR72" s="5"/>
      <c r="YS72" s="5"/>
      <c r="YT72" s="5"/>
      <c r="YU72" s="5"/>
      <c r="YV72" s="5"/>
      <c r="YW72" s="5"/>
      <c r="YX72" s="5"/>
      <c r="YY72" s="5"/>
      <c r="YZ72" s="5"/>
      <c r="ZA72" s="5"/>
      <c r="ZB72" s="5"/>
      <c r="ZC72" s="5"/>
      <c r="ZD72" s="5"/>
      <c r="ZE72" s="5"/>
      <c r="ZF72" s="5"/>
      <c r="ZG72" s="5"/>
      <c r="ZH72" s="5"/>
      <c r="ZI72" s="5"/>
      <c r="ZJ72" s="5"/>
      <c r="ZK72" s="5"/>
      <c r="ZL72" s="5"/>
      <c r="ZM72" s="5"/>
      <c r="ZN72" s="5"/>
      <c r="ZO72" s="5"/>
      <c r="ZP72" s="5"/>
      <c r="ZQ72" s="5"/>
      <c r="ZR72" s="5"/>
      <c r="ZS72" s="5"/>
      <c r="ZT72" s="5"/>
      <c r="ZU72" s="5"/>
      <c r="ZV72" s="5"/>
      <c r="ZW72" s="5"/>
      <c r="ZX72" s="5"/>
      <c r="ZY72" s="5"/>
      <c r="ZZ72" s="5"/>
    </row>
    <row r="73" spans="1:702" x14ac:dyDescent="0.2">
      <c r="A73" s="5"/>
      <c r="B73" s="5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  <c r="YU73" s="5"/>
      <c r="YV73" s="5"/>
      <c r="YW73" s="5"/>
      <c r="YX73" s="5"/>
      <c r="YY73" s="5"/>
      <c r="YZ73" s="5"/>
      <c r="ZA73" s="5"/>
      <c r="ZB73" s="5"/>
      <c r="ZC73" s="5"/>
      <c r="ZD73" s="5"/>
      <c r="ZE73" s="5"/>
      <c r="ZF73" s="5"/>
      <c r="ZG73" s="5"/>
      <c r="ZH73" s="5"/>
      <c r="ZI73" s="5"/>
      <c r="ZJ73" s="5"/>
      <c r="ZK73" s="5"/>
      <c r="ZL73" s="5"/>
      <c r="ZM73" s="5"/>
      <c r="ZN73" s="5"/>
      <c r="ZO73" s="5"/>
      <c r="ZP73" s="5"/>
      <c r="ZQ73" s="5"/>
      <c r="ZR73" s="5"/>
      <c r="ZS73" s="5"/>
      <c r="ZT73" s="5"/>
      <c r="ZU73" s="5"/>
      <c r="ZV73" s="5"/>
      <c r="ZW73" s="5"/>
      <c r="ZX73" s="5"/>
      <c r="ZY73" s="5"/>
      <c r="ZZ73" s="5"/>
    </row>
    <row r="74" spans="1:702" x14ac:dyDescent="0.2">
      <c r="A74" s="5"/>
      <c r="B74" s="5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</row>
    <row r="75" spans="1:702" x14ac:dyDescent="0.2">
      <c r="A75" s="5"/>
      <c r="B75" s="5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</row>
    <row r="76" spans="1:702" x14ac:dyDescent="0.2">
      <c r="A76" s="5"/>
      <c r="B76" s="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</row>
    <row r="77" spans="1:702" x14ac:dyDescent="0.2">
      <c r="A77" s="5"/>
      <c r="B77" s="5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</row>
    <row r="78" spans="1:702" x14ac:dyDescent="0.2">
      <c r="A78" s="5"/>
      <c r="B78" s="5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</row>
    <row r="79" spans="1:702" x14ac:dyDescent="0.2">
      <c r="A79" s="5"/>
      <c r="B79" s="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</row>
    <row r="80" spans="1:702" x14ac:dyDescent="0.2">
      <c r="A80" s="5"/>
      <c r="B80" s="5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</row>
    <row r="81" spans="1:702" x14ac:dyDescent="0.2">
      <c r="A81" s="5"/>
      <c r="B81" s="5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</row>
    <row r="82" spans="1:702" x14ac:dyDescent="0.2">
      <c r="A82" s="5"/>
      <c r="B82" s="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</row>
    <row r="83" spans="1:702" x14ac:dyDescent="0.2">
      <c r="A83" s="5"/>
      <c r="B83" s="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</row>
    <row r="84" spans="1:702" x14ac:dyDescent="0.2">
      <c r="A84" s="5"/>
      <c r="B84" s="5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</row>
    <row r="85" spans="1:702" x14ac:dyDescent="0.2">
      <c r="A85" s="5"/>
      <c r="B85" s="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</row>
    <row r="86" spans="1:702" x14ac:dyDescent="0.2">
      <c r="A86" s="5"/>
      <c r="B86" s="5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  <c r="YU86" s="5"/>
      <c r="YV86" s="5"/>
      <c r="YW86" s="5"/>
      <c r="YX86" s="5"/>
      <c r="YY86" s="5"/>
      <c r="YZ86" s="5"/>
      <c r="ZA86" s="5"/>
      <c r="ZB86" s="5"/>
      <c r="ZC86" s="5"/>
      <c r="ZD86" s="5"/>
      <c r="ZE86" s="5"/>
      <c r="ZF86" s="5"/>
      <c r="ZG86" s="5"/>
      <c r="ZH86" s="5"/>
      <c r="ZI86" s="5"/>
      <c r="ZJ86" s="5"/>
      <c r="ZK86" s="5"/>
      <c r="ZL86" s="5"/>
      <c r="ZM86" s="5"/>
      <c r="ZN86" s="5"/>
      <c r="ZO86" s="5"/>
      <c r="ZP86" s="5"/>
      <c r="ZQ86" s="5"/>
      <c r="ZR86" s="5"/>
      <c r="ZS86" s="5"/>
      <c r="ZT86" s="5"/>
      <c r="ZU86" s="5"/>
      <c r="ZV86" s="5"/>
      <c r="ZW86" s="5"/>
      <c r="ZX86" s="5"/>
      <c r="ZY86" s="5"/>
      <c r="ZZ86" s="5"/>
    </row>
    <row r="87" spans="1:702" x14ac:dyDescent="0.2">
      <c r="A87" s="5"/>
      <c r="B87" s="5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  <c r="YU87" s="5"/>
      <c r="YV87" s="5"/>
      <c r="YW87" s="5"/>
      <c r="YX87" s="5"/>
      <c r="YY87" s="5"/>
      <c r="YZ87" s="5"/>
      <c r="ZA87" s="5"/>
      <c r="ZB87" s="5"/>
      <c r="ZC87" s="5"/>
      <c r="ZD87" s="5"/>
      <c r="ZE87" s="5"/>
      <c r="ZF87" s="5"/>
      <c r="ZG87" s="5"/>
      <c r="ZH87" s="5"/>
      <c r="ZI87" s="5"/>
      <c r="ZJ87" s="5"/>
      <c r="ZK87" s="5"/>
      <c r="ZL87" s="5"/>
      <c r="ZM87" s="5"/>
      <c r="ZN87" s="5"/>
      <c r="ZO87" s="5"/>
      <c r="ZP87" s="5"/>
      <c r="ZQ87" s="5"/>
      <c r="ZR87" s="5"/>
      <c r="ZS87" s="5"/>
      <c r="ZT87" s="5"/>
      <c r="ZU87" s="5"/>
      <c r="ZV87" s="5"/>
      <c r="ZW87" s="5"/>
      <c r="ZX87" s="5"/>
      <c r="ZY87" s="5"/>
      <c r="ZZ87" s="5"/>
    </row>
    <row r="88" spans="1:702" x14ac:dyDescent="0.2">
      <c r="A88" s="5"/>
      <c r="B88" s="5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  <c r="YU88" s="5"/>
      <c r="YV88" s="5"/>
      <c r="YW88" s="5"/>
      <c r="YX88" s="5"/>
      <c r="YY88" s="5"/>
      <c r="YZ88" s="5"/>
      <c r="ZA88" s="5"/>
      <c r="ZB88" s="5"/>
      <c r="ZC88" s="5"/>
      <c r="ZD88" s="5"/>
      <c r="ZE88" s="5"/>
      <c r="ZF88" s="5"/>
      <c r="ZG88" s="5"/>
      <c r="ZH88" s="5"/>
      <c r="ZI88" s="5"/>
      <c r="ZJ88" s="5"/>
      <c r="ZK88" s="5"/>
      <c r="ZL88" s="5"/>
      <c r="ZM88" s="5"/>
      <c r="ZN88" s="5"/>
      <c r="ZO88" s="5"/>
      <c r="ZP88" s="5"/>
      <c r="ZQ88" s="5"/>
      <c r="ZR88" s="5"/>
      <c r="ZS88" s="5"/>
      <c r="ZT88" s="5"/>
      <c r="ZU88" s="5"/>
      <c r="ZV88" s="5"/>
      <c r="ZW88" s="5"/>
      <c r="ZX88" s="5"/>
      <c r="ZY88" s="5"/>
      <c r="ZZ88" s="5"/>
    </row>
    <row r="89" spans="1:702" x14ac:dyDescent="0.2">
      <c r="A89" s="5"/>
      <c r="B89" s="5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</row>
    <row r="90" spans="1:702" x14ac:dyDescent="0.2">
      <c r="A90" s="5"/>
      <c r="B90" s="5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</row>
    <row r="91" spans="1:702" x14ac:dyDescent="0.2">
      <c r="A91" s="5"/>
      <c r="B91" s="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</row>
    <row r="92" spans="1:702" x14ac:dyDescent="0.2">
      <c r="A92" s="5"/>
      <c r="B92" s="5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</row>
    <row r="93" spans="1:702" x14ac:dyDescent="0.2">
      <c r="A93" s="5"/>
      <c r="B93" s="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</row>
    <row r="94" spans="1:702" x14ac:dyDescent="0.2">
      <c r="A94" s="5"/>
      <c r="B94" s="5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</row>
    <row r="95" spans="1:702" x14ac:dyDescent="0.2">
      <c r="A95" s="5"/>
      <c r="B95" s="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</row>
    <row r="96" spans="1:702" x14ac:dyDescent="0.2">
      <c r="A96" s="5"/>
      <c r="B96" s="5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</row>
    <row r="97" spans="1:702" x14ac:dyDescent="0.2">
      <c r="A97" s="5"/>
      <c r="B97" s="5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  <c r="SG97" s="5"/>
      <c r="SH97" s="5"/>
      <c r="SI97" s="5"/>
      <c r="SJ97" s="5"/>
      <c r="SK97" s="5"/>
      <c r="SL97" s="5"/>
      <c r="SM97" s="5"/>
      <c r="SN97" s="5"/>
      <c r="SO97" s="5"/>
      <c r="SP97" s="5"/>
      <c r="SQ97" s="5"/>
      <c r="SR97" s="5"/>
      <c r="SS97" s="5"/>
      <c r="ST97" s="5"/>
      <c r="SU97" s="5"/>
      <c r="SV97" s="5"/>
      <c r="SW97" s="5"/>
      <c r="SX97" s="5"/>
      <c r="SY97" s="5"/>
      <c r="SZ97" s="5"/>
      <c r="TA97" s="5"/>
      <c r="TB97" s="5"/>
      <c r="TC97" s="5"/>
      <c r="TD97" s="5"/>
      <c r="TE97" s="5"/>
      <c r="TF97" s="5"/>
      <c r="TG97" s="5"/>
      <c r="TH97" s="5"/>
      <c r="TI97" s="5"/>
      <c r="TJ97" s="5"/>
      <c r="TK97" s="5"/>
      <c r="TL97" s="5"/>
      <c r="TM97" s="5"/>
      <c r="TN97" s="5"/>
      <c r="TO97" s="5"/>
      <c r="TP97" s="5"/>
      <c r="TQ97" s="5"/>
      <c r="TR97" s="5"/>
      <c r="TS97" s="5"/>
      <c r="TT97" s="5"/>
      <c r="TU97" s="5"/>
      <c r="TV97" s="5"/>
      <c r="TW97" s="5"/>
      <c r="TX97" s="5"/>
      <c r="TY97" s="5"/>
      <c r="TZ97" s="5"/>
      <c r="UA97" s="5"/>
      <c r="UB97" s="5"/>
      <c r="UC97" s="5"/>
      <c r="UD97" s="5"/>
      <c r="UE97" s="5"/>
      <c r="UF97" s="5"/>
      <c r="UG97" s="5"/>
      <c r="UH97" s="5"/>
      <c r="UI97" s="5"/>
      <c r="UJ97" s="5"/>
      <c r="UK97" s="5"/>
      <c r="UL97" s="5"/>
      <c r="UM97" s="5"/>
      <c r="UN97" s="5"/>
      <c r="UO97" s="5"/>
      <c r="UP97" s="5"/>
      <c r="UQ97" s="5"/>
      <c r="UR97" s="5"/>
      <c r="US97" s="5"/>
      <c r="UT97" s="5"/>
      <c r="UU97" s="5"/>
      <c r="UV97" s="5"/>
      <c r="UW97" s="5"/>
      <c r="UX97" s="5"/>
      <c r="UY97" s="5"/>
      <c r="UZ97" s="5"/>
      <c r="VA97" s="5"/>
      <c r="VB97" s="5"/>
      <c r="VC97" s="5"/>
      <c r="VD97" s="5"/>
      <c r="VE97" s="5"/>
      <c r="VF97" s="5"/>
      <c r="VG97" s="5"/>
      <c r="VH97" s="5"/>
      <c r="VI97" s="5"/>
      <c r="VJ97" s="5"/>
      <c r="VK97" s="5"/>
      <c r="VL97" s="5"/>
      <c r="VM97" s="5"/>
      <c r="VN97" s="5"/>
      <c r="VO97" s="5"/>
      <c r="VP97" s="5"/>
      <c r="VQ97" s="5"/>
      <c r="VR97" s="5"/>
      <c r="VS97" s="5"/>
      <c r="VT97" s="5"/>
      <c r="VU97" s="5"/>
      <c r="VV97" s="5"/>
      <c r="VW97" s="5"/>
      <c r="VX97" s="5"/>
      <c r="VY97" s="5"/>
      <c r="VZ97" s="5"/>
      <c r="WA97" s="5"/>
      <c r="WB97" s="5"/>
      <c r="WC97" s="5"/>
      <c r="WD97" s="5"/>
      <c r="WE97" s="5"/>
      <c r="WF97" s="5"/>
      <c r="WG97" s="5"/>
      <c r="WH97" s="5"/>
      <c r="WI97" s="5"/>
      <c r="WJ97" s="5"/>
      <c r="WK97" s="5"/>
      <c r="WL97" s="5"/>
      <c r="WM97" s="5"/>
      <c r="WN97" s="5"/>
      <c r="WO97" s="5"/>
      <c r="WP97" s="5"/>
      <c r="WQ97" s="5"/>
      <c r="WR97" s="5"/>
      <c r="WS97" s="5"/>
      <c r="WT97" s="5"/>
      <c r="WU97" s="5"/>
      <c r="WV97" s="5"/>
      <c r="WW97" s="5"/>
      <c r="WX97" s="5"/>
      <c r="WY97" s="5"/>
      <c r="WZ97" s="5"/>
      <c r="XA97" s="5"/>
      <c r="XB97" s="5"/>
      <c r="XC97" s="5"/>
      <c r="XD97" s="5"/>
      <c r="XE97" s="5"/>
      <c r="XF97" s="5"/>
      <c r="XG97" s="5"/>
      <c r="XH97" s="5"/>
      <c r="XI97" s="5"/>
      <c r="XJ97" s="5"/>
      <c r="XK97" s="5"/>
      <c r="XL97" s="5"/>
      <c r="XM97" s="5"/>
      <c r="XN97" s="5"/>
      <c r="XO97" s="5"/>
      <c r="XP97" s="5"/>
      <c r="XQ97" s="5"/>
      <c r="XR97" s="5"/>
      <c r="XS97" s="5"/>
      <c r="XT97" s="5"/>
      <c r="XU97" s="5"/>
      <c r="XV97" s="5"/>
      <c r="XW97" s="5"/>
      <c r="XX97" s="5"/>
      <c r="XY97" s="5"/>
      <c r="XZ97" s="5"/>
      <c r="YA97" s="5"/>
      <c r="YB97" s="5"/>
      <c r="YC97" s="5"/>
      <c r="YD97" s="5"/>
      <c r="YE97" s="5"/>
      <c r="YF97" s="5"/>
      <c r="YG97" s="5"/>
      <c r="YH97" s="5"/>
      <c r="YI97" s="5"/>
      <c r="YJ97" s="5"/>
      <c r="YK97" s="5"/>
      <c r="YL97" s="5"/>
      <c r="YM97" s="5"/>
      <c r="YN97" s="5"/>
      <c r="YO97" s="5"/>
      <c r="YP97" s="5"/>
      <c r="YQ97" s="5"/>
      <c r="YR97" s="5"/>
      <c r="YS97" s="5"/>
      <c r="YT97" s="5"/>
      <c r="YU97" s="5"/>
      <c r="YV97" s="5"/>
      <c r="YW97" s="5"/>
      <c r="YX97" s="5"/>
      <c r="YY97" s="5"/>
      <c r="YZ97" s="5"/>
      <c r="ZA97" s="5"/>
      <c r="ZB97" s="5"/>
      <c r="ZC97" s="5"/>
      <c r="ZD97" s="5"/>
      <c r="ZE97" s="5"/>
      <c r="ZF97" s="5"/>
      <c r="ZG97" s="5"/>
      <c r="ZH97" s="5"/>
      <c r="ZI97" s="5"/>
      <c r="ZJ97" s="5"/>
      <c r="ZK97" s="5"/>
      <c r="ZL97" s="5"/>
      <c r="ZM97" s="5"/>
      <c r="ZN97" s="5"/>
      <c r="ZO97" s="5"/>
      <c r="ZP97" s="5"/>
      <c r="ZQ97" s="5"/>
      <c r="ZR97" s="5"/>
      <c r="ZS97" s="5"/>
      <c r="ZT97" s="5"/>
      <c r="ZU97" s="5"/>
      <c r="ZV97" s="5"/>
      <c r="ZW97" s="5"/>
      <c r="ZX97" s="5"/>
      <c r="ZY97" s="5"/>
      <c r="ZZ97" s="5"/>
    </row>
    <row r="98" spans="1:702" x14ac:dyDescent="0.2">
      <c r="A98" s="5"/>
      <c r="B98" s="5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</row>
    <row r="99" spans="1:702" x14ac:dyDescent="0.2">
      <c r="A99" s="5"/>
      <c r="B99" s="5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  <c r="PW99" s="5"/>
      <c r="PX99" s="5"/>
      <c r="PY99" s="5"/>
      <c r="PZ99" s="5"/>
      <c r="QA99" s="5"/>
      <c r="QB99" s="5"/>
      <c r="QC99" s="5"/>
      <c r="QD99" s="5"/>
      <c r="QE99" s="5"/>
      <c r="QF99" s="5"/>
      <c r="QG99" s="5"/>
      <c r="QH99" s="5"/>
      <c r="QI99" s="5"/>
      <c r="QJ99" s="5"/>
      <c r="QK99" s="5"/>
      <c r="QL99" s="5"/>
      <c r="QM99" s="5"/>
      <c r="QN99" s="5"/>
      <c r="QO99" s="5"/>
      <c r="QP99" s="5"/>
      <c r="QQ99" s="5"/>
      <c r="QR99" s="5"/>
      <c r="QS99" s="5"/>
      <c r="QT99" s="5"/>
      <c r="QU99" s="5"/>
      <c r="QV99" s="5"/>
      <c r="QW99" s="5"/>
      <c r="QX99" s="5"/>
      <c r="QY99" s="5"/>
      <c r="QZ99" s="5"/>
      <c r="RA99" s="5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5"/>
      <c r="RN99" s="5"/>
      <c r="RO99" s="5"/>
      <c r="RP99" s="5"/>
      <c r="RQ99" s="5"/>
      <c r="RR99" s="5"/>
      <c r="RS99" s="5"/>
      <c r="RT99" s="5"/>
      <c r="RU99" s="5"/>
      <c r="RV99" s="5"/>
      <c r="RW99" s="5"/>
      <c r="RX99" s="5"/>
      <c r="RY99" s="5"/>
      <c r="RZ99" s="5"/>
      <c r="SA99" s="5"/>
      <c r="SB99" s="5"/>
      <c r="SC99" s="5"/>
      <c r="SD99" s="5"/>
      <c r="SE99" s="5"/>
      <c r="SF99" s="5"/>
      <c r="SG99" s="5"/>
      <c r="SH99" s="5"/>
      <c r="SI99" s="5"/>
      <c r="SJ99" s="5"/>
      <c r="SK99" s="5"/>
      <c r="SL99" s="5"/>
      <c r="SM99" s="5"/>
      <c r="SN99" s="5"/>
      <c r="SO99" s="5"/>
      <c r="SP99" s="5"/>
      <c r="SQ99" s="5"/>
      <c r="SR99" s="5"/>
      <c r="SS99" s="5"/>
      <c r="ST99" s="5"/>
      <c r="SU99" s="5"/>
      <c r="SV99" s="5"/>
      <c r="SW99" s="5"/>
      <c r="SX99" s="5"/>
      <c r="SY99" s="5"/>
      <c r="SZ99" s="5"/>
      <c r="TA99" s="5"/>
      <c r="TB99" s="5"/>
      <c r="TC99" s="5"/>
      <c r="TD99" s="5"/>
      <c r="TE99" s="5"/>
      <c r="TF99" s="5"/>
      <c r="TG99" s="5"/>
      <c r="TH99" s="5"/>
      <c r="TI99" s="5"/>
      <c r="TJ99" s="5"/>
      <c r="TK99" s="5"/>
      <c r="TL99" s="5"/>
      <c r="TM99" s="5"/>
      <c r="TN99" s="5"/>
      <c r="TO99" s="5"/>
      <c r="TP99" s="5"/>
      <c r="TQ99" s="5"/>
      <c r="TR99" s="5"/>
      <c r="TS99" s="5"/>
      <c r="TT99" s="5"/>
      <c r="TU99" s="5"/>
      <c r="TV99" s="5"/>
      <c r="TW99" s="5"/>
      <c r="TX99" s="5"/>
      <c r="TY99" s="5"/>
      <c r="TZ99" s="5"/>
      <c r="UA99" s="5"/>
      <c r="UB99" s="5"/>
      <c r="UC99" s="5"/>
      <c r="UD99" s="5"/>
      <c r="UE99" s="5"/>
      <c r="UF99" s="5"/>
      <c r="UG99" s="5"/>
      <c r="UH99" s="5"/>
      <c r="UI99" s="5"/>
      <c r="UJ99" s="5"/>
      <c r="UK99" s="5"/>
      <c r="UL99" s="5"/>
      <c r="UM99" s="5"/>
      <c r="UN99" s="5"/>
      <c r="UO99" s="5"/>
      <c r="UP99" s="5"/>
      <c r="UQ99" s="5"/>
      <c r="UR99" s="5"/>
      <c r="US99" s="5"/>
      <c r="UT99" s="5"/>
      <c r="UU99" s="5"/>
      <c r="UV99" s="5"/>
      <c r="UW99" s="5"/>
      <c r="UX99" s="5"/>
      <c r="UY99" s="5"/>
      <c r="UZ99" s="5"/>
      <c r="VA99" s="5"/>
      <c r="VB99" s="5"/>
      <c r="VC99" s="5"/>
      <c r="VD99" s="5"/>
      <c r="VE99" s="5"/>
      <c r="VF99" s="5"/>
      <c r="VG99" s="5"/>
      <c r="VH99" s="5"/>
      <c r="VI99" s="5"/>
      <c r="VJ99" s="5"/>
      <c r="VK99" s="5"/>
      <c r="VL99" s="5"/>
      <c r="VM99" s="5"/>
      <c r="VN99" s="5"/>
      <c r="VO99" s="5"/>
      <c r="VP99" s="5"/>
      <c r="VQ99" s="5"/>
      <c r="VR99" s="5"/>
      <c r="VS99" s="5"/>
      <c r="VT99" s="5"/>
      <c r="VU99" s="5"/>
      <c r="VV99" s="5"/>
      <c r="VW99" s="5"/>
      <c r="VX99" s="5"/>
      <c r="VY99" s="5"/>
      <c r="VZ99" s="5"/>
      <c r="WA99" s="5"/>
      <c r="WB99" s="5"/>
      <c r="WC99" s="5"/>
      <c r="WD99" s="5"/>
      <c r="WE99" s="5"/>
      <c r="WF99" s="5"/>
      <c r="WG99" s="5"/>
      <c r="WH99" s="5"/>
      <c r="WI99" s="5"/>
      <c r="WJ99" s="5"/>
      <c r="WK99" s="5"/>
      <c r="WL99" s="5"/>
      <c r="WM99" s="5"/>
      <c r="WN99" s="5"/>
      <c r="WO99" s="5"/>
      <c r="WP99" s="5"/>
      <c r="WQ99" s="5"/>
      <c r="WR99" s="5"/>
      <c r="WS99" s="5"/>
      <c r="WT99" s="5"/>
      <c r="WU99" s="5"/>
      <c r="WV99" s="5"/>
      <c r="WW99" s="5"/>
      <c r="WX99" s="5"/>
      <c r="WY99" s="5"/>
      <c r="WZ99" s="5"/>
      <c r="XA99" s="5"/>
      <c r="XB99" s="5"/>
      <c r="XC99" s="5"/>
      <c r="XD99" s="5"/>
      <c r="XE99" s="5"/>
      <c r="XF99" s="5"/>
      <c r="XG99" s="5"/>
      <c r="XH99" s="5"/>
      <c r="XI99" s="5"/>
      <c r="XJ99" s="5"/>
      <c r="XK99" s="5"/>
      <c r="XL99" s="5"/>
      <c r="XM99" s="5"/>
      <c r="XN99" s="5"/>
      <c r="XO99" s="5"/>
      <c r="XP99" s="5"/>
      <c r="XQ99" s="5"/>
      <c r="XR99" s="5"/>
      <c r="XS99" s="5"/>
      <c r="XT99" s="5"/>
      <c r="XU99" s="5"/>
      <c r="XV99" s="5"/>
      <c r="XW99" s="5"/>
      <c r="XX99" s="5"/>
      <c r="XY99" s="5"/>
      <c r="XZ99" s="5"/>
      <c r="YA99" s="5"/>
      <c r="YB99" s="5"/>
      <c r="YC99" s="5"/>
      <c r="YD99" s="5"/>
      <c r="YE99" s="5"/>
      <c r="YF99" s="5"/>
      <c r="YG99" s="5"/>
      <c r="YH99" s="5"/>
      <c r="YI99" s="5"/>
      <c r="YJ99" s="5"/>
      <c r="YK99" s="5"/>
      <c r="YL99" s="5"/>
      <c r="YM99" s="5"/>
      <c r="YN99" s="5"/>
      <c r="YO99" s="5"/>
      <c r="YP99" s="5"/>
      <c r="YQ99" s="5"/>
      <c r="YR99" s="5"/>
      <c r="YS99" s="5"/>
      <c r="YT99" s="5"/>
      <c r="YU99" s="5"/>
      <c r="YV99" s="5"/>
      <c r="YW99" s="5"/>
      <c r="YX99" s="5"/>
      <c r="YY99" s="5"/>
      <c r="YZ99" s="5"/>
      <c r="ZA99" s="5"/>
      <c r="ZB99" s="5"/>
      <c r="ZC99" s="5"/>
      <c r="ZD99" s="5"/>
      <c r="ZE99" s="5"/>
      <c r="ZF99" s="5"/>
      <c r="ZG99" s="5"/>
      <c r="ZH99" s="5"/>
      <c r="ZI99" s="5"/>
      <c r="ZJ99" s="5"/>
      <c r="ZK99" s="5"/>
      <c r="ZL99" s="5"/>
      <c r="ZM99" s="5"/>
      <c r="ZN99" s="5"/>
      <c r="ZO99" s="5"/>
      <c r="ZP99" s="5"/>
      <c r="ZQ99" s="5"/>
      <c r="ZR99" s="5"/>
      <c r="ZS99" s="5"/>
      <c r="ZT99" s="5"/>
      <c r="ZU99" s="5"/>
      <c r="ZV99" s="5"/>
      <c r="ZW99" s="5"/>
      <c r="ZX99" s="5"/>
      <c r="ZY99" s="5"/>
      <c r="ZZ99" s="5"/>
    </row>
    <row r="100" spans="1:702" x14ac:dyDescent="0.2">
      <c r="A100" s="5"/>
      <c r="B100" s="5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  <c r="LC100" s="5"/>
      <c r="LD100" s="5"/>
      <c r="LE100" s="5"/>
      <c r="LF100" s="5"/>
      <c r="LG100" s="5"/>
      <c r="LH100" s="5"/>
      <c r="LI100" s="5"/>
      <c r="LJ100" s="5"/>
      <c r="LK100" s="5"/>
      <c r="LL100" s="5"/>
      <c r="LM100" s="5"/>
      <c r="LN100" s="5"/>
      <c r="LO100" s="5"/>
      <c r="LP100" s="5"/>
      <c r="LQ100" s="5"/>
      <c r="LR100" s="5"/>
      <c r="LS100" s="5"/>
      <c r="LT100" s="5"/>
      <c r="LU100" s="5"/>
      <c r="LV100" s="5"/>
      <c r="LW100" s="5"/>
      <c r="LX100" s="5"/>
      <c r="LY100" s="5"/>
      <c r="LZ100" s="5"/>
      <c r="MA100" s="5"/>
      <c r="MB100" s="5"/>
      <c r="MC100" s="5"/>
      <c r="MD100" s="5"/>
      <c r="ME100" s="5"/>
      <c r="MF100" s="5"/>
      <c r="MG100" s="5"/>
      <c r="MH100" s="5"/>
      <c r="MI100" s="5"/>
      <c r="MJ100" s="5"/>
      <c r="MK100" s="5"/>
      <c r="ML100" s="5"/>
      <c r="MM100" s="5"/>
      <c r="MN100" s="5"/>
      <c r="MO100" s="5"/>
      <c r="MP100" s="5"/>
      <c r="MQ100" s="5"/>
      <c r="MR100" s="5"/>
      <c r="MS100" s="5"/>
      <c r="MT100" s="5"/>
      <c r="MU100" s="5"/>
      <c r="MV100" s="5"/>
      <c r="MW100" s="5"/>
      <c r="MX100" s="5"/>
      <c r="MY100" s="5"/>
      <c r="MZ100" s="5"/>
      <c r="NA100" s="5"/>
      <c r="NB100" s="5"/>
      <c r="NC100" s="5"/>
      <c r="ND100" s="5"/>
      <c r="NE100" s="5"/>
      <c r="NF100" s="5"/>
      <c r="NG100" s="5"/>
      <c r="NH100" s="5"/>
      <c r="NI100" s="5"/>
      <c r="NJ100" s="5"/>
      <c r="NK100" s="5"/>
      <c r="NL100" s="5"/>
      <c r="NM100" s="5"/>
      <c r="NN100" s="5"/>
      <c r="NO100" s="5"/>
      <c r="NP100" s="5"/>
      <c r="NQ100" s="5"/>
      <c r="NR100" s="5"/>
      <c r="NS100" s="5"/>
      <c r="NT100" s="5"/>
      <c r="NU100" s="5"/>
      <c r="NV100" s="5"/>
      <c r="NW100" s="5"/>
      <c r="NX100" s="5"/>
      <c r="NY100" s="5"/>
      <c r="NZ100" s="5"/>
      <c r="OA100" s="5"/>
      <c r="OB100" s="5"/>
      <c r="OC100" s="5"/>
      <c r="OD100" s="5"/>
      <c r="OE100" s="5"/>
      <c r="OF100" s="5"/>
      <c r="OG100" s="5"/>
      <c r="OH100" s="5"/>
      <c r="OI100" s="5"/>
      <c r="OJ100" s="5"/>
      <c r="OK100" s="5"/>
      <c r="OL100" s="5"/>
      <c r="OM100" s="5"/>
      <c r="ON100" s="5"/>
      <c r="OO100" s="5"/>
      <c r="OP100" s="5"/>
      <c r="OQ100" s="5"/>
      <c r="OR100" s="5"/>
      <c r="OS100" s="5"/>
      <c r="OT100" s="5"/>
      <c r="OU100" s="5"/>
      <c r="OV100" s="5"/>
      <c r="OW100" s="5"/>
      <c r="OX100" s="5"/>
      <c r="OY100" s="5"/>
      <c r="OZ100" s="5"/>
      <c r="PA100" s="5"/>
      <c r="PB100" s="5"/>
      <c r="PC100" s="5"/>
      <c r="PD100" s="5"/>
      <c r="PE100" s="5"/>
      <c r="PF100" s="5"/>
      <c r="PG100" s="5"/>
      <c r="PH100" s="5"/>
      <c r="PI100" s="5"/>
      <c r="PJ100" s="5"/>
      <c r="PK100" s="5"/>
      <c r="PL100" s="5"/>
      <c r="PM100" s="5"/>
      <c r="PN100" s="5"/>
      <c r="PO100" s="5"/>
      <c r="PP100" s="5"/>
      <c r="PQ100" s="5"/>
      <c r="PR100" s="5"/>
      <c r="PS100" s="5"/>
      <c r="PT100" s="5"/>
      <c r="PU100" s="5"/>
      <c r="PV100" s="5"/>
      <c r="PW100" s="5"/>
      <c r="PX100" s="5"/>
      <c r="PY100" s="5"/>
      <c r="PZ100" s="5"/>
      <c r="QA100" s="5"/>
      <c r="QB100" s="5"/>
      <c r="QC100" s="5"/>
      <c r="QD100" s="5"/>
      <c r="QE100" s="5"/>
      <c r="QF100" s="5"/>
      <c r="QG100" s="5"/>
      <c r="QH100" s="5"/>
      <c r="QI100" s="5"/>
      <c r="QJ100" s="5"/>
      <c r="QK100" s="5"/>
      <c r="QL100" s="5"/>
      <c r="QM100" s="5"/>
      <c r="QN100" s="5"/>
      <c r="QO100" s="5"/>
      <c r="QP100" s="5"/>
      <c r="QQ100" s="5"/>
      <c r="QR100" s="5"/>
      <c r="QS100" s="5"/>
      <c r="QT100" s="5"/>
      <c r="QU100" s="5"/>
      <c r="QV100" s="5"/>
      <c r="QW100" s="5"/>
      <c r="QX100" s="5"/>
      <c r="QY100" s="5"/>
      <c r="QZ100" s="5"/>
      <c r="RA100" s="5"/>
      <c r="RB100" s="5"/>
      <c r="RC100" s="5"/>
      <c r="RD100" s="5"/>
      <c r="RE100" s="5"/>
      <c r="RF100" s="5"/>
      <c r="RG100" s="5"/>
      <c r="RH100" s="5"/>
      <c r="RI100" s="5"/>
      <c r="RJ100" s="5"/>
      <c r="RK100" s="5"/>
      <c r="RL100" s="5"/>
      <c r="RM100" s="5"/>
      <c r="RN100" s="5"/>
      <c r="RO100" s="5"/>
      <c r="RP100" s="5"/>
      <c r="RQ100" s="5"/>
      <c r="RR100" s="5"/>
      <c r="RS100" s="5"/>
      <c r="RT100" s="5"/>
      <c r="RU100" s="5"/>
      <c r="RV100" s="5"/>
      <c r="RW100" s="5"/>
      <c r="RX100" s="5"/>
      <c r="RY100" s="5"/>
      <c r="RZ100" s="5"/>
      <c r="SA100" s="5"/>
      <c r="SB100" s="5"/>
      <c r="SC100" s="5"/>
      <c r="SD100" s="5"/>
      <c r="SE100" s="5"/>
      <c r="SF100" s="5"/>
      <c r="SG100" s="5"/>
      <c r="SH100" s="5"/>
      <c r="SI100" s="5"/>
      <c r="SJ100" s="5"/>
      <c r="SK100" s="5"/>
      <c r="SL100" s="5"/>
      <c r="SM100" s="5"/>
      <c r="SN100" s="5"/>
      <c r="SO100" s="5"/>
      <c r="SP100" s="5"/>
      <c r="SQ100" s="5"/>
      <c r="SR100" s="5"/>
      <c r="SS100" s="5"/>
      <c r="ST100" s="5"/>
      <c r="SU100" s="5"/>
      <c r="SV100" s="5"/>
      <c r="SW100" s="5"/>
      <c r="SX100" s="5"/>
      <c r="SY100" s="5"/>
      <c r="SZ100" s="5"/>
      <c r="TA100" s="5"/>
      <c r="TB100" s="5"/>
      <c r="TC100" s="5"/>
      <c r="TD100" s="5"/>
      <c r="TE100" s="5"/>
      <c r="TF100" s="5"/>
      <c r="TG100" s="5"/>
      <c r="TH100" s="5"/>
      <c r="TI100" s="5"/>
      <c r="TJ100" s="5"/>
      <c r="TK100" s="5"/>
      <c r="TL100" s="5"/>
      <c r="TM100" s="5"/>
      <c r="TN100" s="5"/>
      <c r="TO100" s="5"/>
      <c r="TP100" s="5"/>
      <c r="TQ100" s="5"/>
      <c r="TR100" s="5"/>
      <c r="TS100" s="5"/>
      <c r="TT100" s="5"/>
      <c r="TU100" s="5"/>
      <c r="TV100" s="5"/>
      <c r="TW100" s="5"/>
      <c r="TX100" s="5"/>
      <c r="TY100" s="5"/>
      <c r="TZ100" s="5"/>
      <c r="UA100" s="5"/>
      <c r="UB100" s="5"/>
      <c r="UC100" s="5"/>
      <c r="UD100" s="5"/>
      <c r="UE100" s="5"/>
      <c r="UF100" s="5"/>
      <c r="UG100" s="5"/>
      <c r="UH100" s="5"/>
      <c r="UI100" s="5"/>
      <c r="UJ100" s="5"/>
      <c r="UK100" s="5"/>
      <c r="UL100" s="5"/>
      <c r="UM100" s="5"/>
      <c r="UN100" s="5"/>
      <c r="UO100" s="5"/>
      <c r="UP100" s="5"/>
      <c r="UQ100" s="5"/>
      <c r="UR100" s="5"/>
      <c r="US100" s="5"/>
      <c r="UT100" s="5"/>
      <c r="UU100" s="5"/>
      <c r="UV100" s="5"/>
      <c r="UW100" s="5"/>
      <c r="UX100" s="5"/>
      <c r="UY100" s="5"/>
      <c r="UZ100" s="5"/>
      <c r="VA100" s="5"/>
      <c r="VB100" s="5"/>
      <c r="VC100" s="5"/>
      <c r="VD100" s="5"/>
      <c r="VE100" s="5"/>
      <c r="VF100" s="5"/>
      <c r="VG100" s="5"/>
      <c r="VH100" s="5"/>
      <c r="VI100" s="5"/>
      <c r="VJ100" s="5"/>
      <c r="VK100" s="5"/>
      <c r="VL100" s="5"/>
      <c r="VM100" s="5"/>
      <c r="VN100" s="5"/>
      <c r="VO100" s="5"/>
      <c r="VP100" s="5"/>
      <c r="VQ100" s="5"/>
      <c r="VR100" s="5"/>
      <c r="VS100" s="5"/>
      <c r="VT100" s="5"/>
      <c r="VU100" s="5"/>
      <c r="VV100" s="5"/>
      <c r="VW100" s="5"/>
      <c r="VX100" s="5"/>
      <c r="VY100" s="5"/>
      <c r="VZ100" s="5"/>
      <c r="WA100" s="5"/>
      <c r="WB100" s="5"/>
      <c r="WC100" s="5"/>
      <c r="WD100" s="5"/>
      <c r="WE100" s="5"/>
      <c r="WF100" s="5"/>
      <c r="WG100" s="5"/>
      <c r="WH100" s="5"/>
      <c r="WI100" s="5"/>
      <c r="WJ100" s="5"/>
      <c r="WK100" s="5"/>
      <c r="WL100" s="5"/>
      <c r="WM100" s="5"/>
      <c r="WN100" s="5"/>
      <c r="WO100" s="5"/>
      <c r="WP100" s="5"/>
      <c r="WQ100" s="5"/>
      <c r="WR100" s="5"/>
      <c r="WS100" s="5"/>
      <c r="WT100" s="5"/>
      <c r="WU100" s="5"/>
      <c r="WV100" s="5"/>
      <c r="WW100" s="5"/>
      <c r="WX100" s="5"/>
      <c r="WY100" s="5"/>
      <c r="WZ100" s="5"/>
      <c r="XA100" s="5"/>
      <c r="XB100" s="5"/>
      <c r="XC100" s="5"/>
      <c r="XD100" s="5"/>
      <c r="XE100" s="5"/>
      <c r="XF100" s="5"/>
      <c r="XG100" s="5"/>
      <c r="XH100" s="5"/>
      <c r="XI100" s="5"/>
      <c r="XJ100" s="5"/>
      <c r="XK100" s="5"/>
      <c r="XL100" s="5"/>
      <c r="XM100" s="5"/>
      <c r="XN100" s="5"/>
      <c r="XO100" s="5"/>
      <c r="XP100" s="5"/>
      <c r="XQ100" s="5"/>
      <c r="XR100" s="5"/>
      <c r="XS100" s="5"/>
      <c r="XT100" s="5"/>
      <c r="XU100" s="5"/>
      <c r="XV100" s="5"/>
      <c r="XW100" s="5"/>
      <c r="XX100" s="5"/>
      <c r="XY100" s="5"/>
      <c r="XZ100" s="5"/>
      <c r="YA100" s="5"/>
      <c r="YB100" s="5"/>
      <c r="YC100" s="5"/>
      <c r="YD100" s="5"/>
      <c r="YE100" s="5"/>
      <c r="YF100" s="5"/>
      <c r="YG100" s="5"/>
      <c r="YH100" s="5"/>
      <c r="YI100" s="5"/>
      <c r="YJ100" s="5"/>
      <c r="YK100" s="5"/>
      <c r="YL100" s="5"/>
      <c r="YM100" s="5"/>
      <c r="YN100" s="5"/>
      <c r="YO100" s="5"/>
      <c r="YP100" s="5"/>
      <c r="YQ100" s="5"/>
      <c r="YR100" s="5"/>
      <c r="YS100" s="5"/>
      <c r="YT100" s="5"/>
      <c r="YU100" s="5"/>
      <c r="YV100" s="5"/>
      <c r="YW100" s="5"/>
      <c r="YX100" s="5"/>
      <c r="YY100" s="5"/>
      <c r="YZ100" s="5"/>
      <c r="ZA100" s="5"/>
      <c r="ZB100" s="5"/>
      <c r="ZC100" s="5"/>
      <c r="ZD100" s="5"/>
      <c r="ZE100" s="5"/>
      <c r="ZF100" s="5"/>
      <c r="ZG100" s="5"/>
      <c r="ZH100" s="5"/>
      <c r="ZI100" s="5"/>
      <c r="ZJ100" s="5"/>
      <c r="ZK100" s="5"/>
      <c r="ZL100" s="5"/>
      <c r="ZM100" s="5"/>
      <c r="ZN100" s="5"/>
      <c r="ZO100" s="5"/>
      <c r="ZP100" s="5"/>
      <c r="ZQ100" s="5"/>
      <c r="ZR100" s="5"/>
      <c r="ZS100" s="5"/>
      <c r="ZT100" s="5"/>
      <c r="ZU100" s="5"/>
      <c r="ZV100" s="5"/>
      <c r="ZW100" s="5"/>
      <c r="ZX100" s="5"/>
      <c r="ZY100" s="5"/>
      <c r="ZZ100" s="5"/>
    </row>
  </sheetData>
  <sheetProtection algorithmName="SHA-512" hashValue="TOCsuidHyhPao8KljWi0bjy+3QYF9hvX2/5lfZi6RLgvkYUBnV0usW+EZ00wcQcFawR4n26pqbYVN/ZD4VFO1g==" saltValue="GmhXw4hM2wtNtpjZUU2grA==" spinCount="100000" sheet="1" objects="1" scenarios="1"/>
  <mergeCells count="51">
    <mergeCell ref="C48:AM48"/>
    <mergeCell ref="C49:AM49"/>
    <mergeCell ref="C50:AM50"/>
    <mergeCell ref="C37:AM37"/>
    <mergeCell ref="C44:AM44"/>
    <mergeCell ref="C45:AM45"/>
    <mergeCell ref="C46:AM46"/>
    <mergeCell ref="C47:AM47"/>
    <mergeCell ref="C10:I10"/>
    <mergeCell ref="AJ2:AM2"/>
    <mergeCell ref="V2:Z2"/>
    <mergeCell ref="AA2:AD2"/>
    <mergeCell ref="V5:Z5"/>
    <mergeCell ref="AA3:AD3"/>
    <mergeCell ref="AE2:AI2"/>
    <mergeCell ref="AE3:AI3"/>
    <mergeCell ref="AE4:AI4"/>
    <mergeCell ref="AE5:AI5"/>
    <mergeCell ref="AJ4:AM4"/>
    <mergeCell ref="AJ3:AM3"/>
    <mergeCell ref="V3:Z3"/>
    <mergeCell ref="AA5:AD5"/>
    <mergeCell ref="V4:Z4"/>
    <mergeCell ref="AA4:AD4"/>
    <mergeCell ref="J5:M5"/>
    <mergeCell ref="C6:E6"/>
    <mergeCell ref="N5:Q5"/>
    <mergeCell ref="J6:M6"/>
    <mergeCell ref="N6:Q6"/>
    <mergeCell ref="C5:E5"/>
    <mergeCell ref="N2:Q2"/>
    <mergeCell ref="F4:I4"/>
    <mergeCell ref="N4:Q4"/>
    <mergeCell ref="N3:Q3"/>
    <mergeCell ref="C3:M3"/>
    <mergeCell ref="A1:A8"/>
    <mergeCell ref="AJ6:AM6"/>
    <mergeCell ref="R6:U6"/>
    <mergeCell ref="F6:I6"/>
    <mergeCell ref="AE6:AI6"/>
    <mergeCell ref="AA6:AD6"/>
    <mergeCell ref="V6:Z6"/>
    <mergeCell ref="R5:U5"/>
    <mergeCell ref="F5:I5"/>
    <mergeCell ref="B1:AG1"/>
    <mergeCell ref="J4:M4"/>
    <mergeCell ref="C4:E4"/>
    <mergeCell ref="R2:U2"/>
    <mergeCell ref="R3:U3"/>
    <mergeCell ref="R4:U4"/>
    <mergeCell ref="B2:M2"/>
  </mergeCells>
  <conditionalFormatting sqref="AN3:AP3">
    <cfRule type="cellIs" dxfId="144" priority="6304" stopIfTrue="1" operator="equal">
      <formula>0</formula>
    </cfRule>
  </conditionalFormatting>
  <conditionalFormatting sqref="AN4:AP4">
    <cfRule type="cellIs" dxfId="143" priority="6303" stopIfTrue="1" operator="equal">
      <formula>0</formula>
    </cfRule>
  </conditionalFormatting>
  <conditionalFormatting sqref="AE4">
    <cfRule type="cellIs" dxfId="142" priority="6301" stopIfTrue="1" operator="equal">
      <formula>0</formula>
    </cfRule>
  </conditionalFormatting>
  <conditionalFormatting sqref="C3">
    <cfRule type="cellIs" dxfId="141" priority="6302" stopIfTrue="1" operator="equal">
      <formula>0</formula>
    </cfRule>
  </conditionalFormatting>
  <conditionalFormatting sqref="C11:I11">
    <cfRule type="expression" dxfId="140" priority="1" stopIfTrue="1">
      <formula>OR(WEEKDAY(C11,2)=6, WEEKDAY(C11,2)=7)</formula>
    </cfRule>
  </conditionalFormatting>
  <dataValidations disablePrompts="1" count="1">
    <dataValidation type="list" allowBlank="1" showInputMessage="1" showErrorMessage="1" sqref="AO2:AP2">
      <formula1>"m,w"</formula1>
    </dataValidation>
  </dataValidations>
  <pageMargins left="0" right="0" top="0.78740157480314965" bottom="0.78740157480314965" header="0" footer="0"/>
  <pageSetup paperSize="9" scale="80" orientation="landscape" r:id="rId1"/>
  <headerFooter>
    <oddHeader>&amp;C&amp;G&amp;LOnk. Amb. privat_x000D_Telefon: 1234_x000D_Fax: 5678&amp;RPraxis_x000D_Prof. Dr. Hans Mustermann_x000D_Onkologische Ambulanz</oddHeader>
    <oddFooter>&amp;LAnordnung (Vorname, Name, Datum)&amp;CDie Herausgeber und Autoren übernehmen keine Haftung für die Richtigkeit der Inhalte._x000D_Eine Plausibilitätsprüfung des Therapieplans durch den Arzt ist erforderlich.&amp;ROnkopti® (PID=47 V1.2)_x000D_02.09.2021 10:10:41_x000D_&amp;P/&amp;N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Z1000"/>
  <sheetViews>
    <sheetView showGridLines="0" zoomScale="115" zoomScaleNormal="115" workbookViewId="0">
      <selection activeCell="B42" sqref="B42:L43"/>
    </sheetView>
  </sheetViews>
  <sheetFormatPr defaultColWidth="11.42578125" defaultRowHeight="12.75" x14ac:dyDescent="0.2"/>
  <cols>
    <col min="1" max="1" width="3.7109375" style="1" customWidth="1"/>
    <col min="2" max="2" width="6.28515625" style="37" customWidth="1"/>
    <col min="3" max="3" width="22.42578125" style="37" customWidth="1"/>
    <col min="4" max="4" width="16.5703125" style="37" customWidth="1"/>
    <col min="5" max="5" width="14.140625" style="37" customWidth="1"/>
    <col min="6" max="6" width="13.42578125" style="37" customWidth="1"/>
    <col min="7" max="7" width="16.140625" style="37" customWidth="1"/>
    <col min="8" max="8" width="11.5703125" style="37" customWidth="1"/>
    <col min="9" max="9" width="15.42578125" style="37" customWidth="1"/>
    <col min="10" max="10" width="13.140625" style="37" customWidth="1"/>
    <col min="11" max="11" width="16.140625" style="37" customWidth="1"/>
    <col min="12" max="12" width="10.85546875" style="37" customWidth="1"/>
    <col min="13" max="16384" width="11.42578125" style="37"/>
  </cols>
  <sheetData>
    <row r="1" spans="1:26" ht="12.75" customHeight="1" x14ac:dyDescent="0.2">
      <c r="A1" s="164" t="s">
        <v>57</v>
      </c>
      <c r="B1" s="196" t="str">
        <f>Protokollname</f>
        <v>FOLFIRINOX - Oxaliplatin 85 / Folinsäure 400 / Irinotecan 180 / Fluorouracil 2400, metastasiertes Pankreaskarzinom (PID=47 V1.2)</v>
      </c>
      <c r="C1" s="196"/>
      <c r="D1" s="196"/>
      <c r="E1" s="196"/>
      <c r="F1" s="196"/>
      <c r="G1" s="196"/>
      <c r="H1" s="196"/>
      <c r="I1" s="196"/>
      <c r="J1" s="196"/>
      <c r="K1" s="40"/>
      <c r="L1" s="44" t="str">
        <f>"Z" &amp; Zyklusnummer &amp; "/d" &amp; F9</f>
        <v>Z1/d1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x14ac:dyDescent="0.25">
      <c r="A2" s="164"/>
      <c r="B2" s="223" t="str">
        <f>IF(PatientName="","",PatientName)</f>
        <v>Doe, John</v>
      </c>
      <c r="C2" s="224"/>
      <c r="D2" s="224"/>
      <c r="E2" s="224"/>
      <c r="F2" s="225"/>
      <c r="G2" s="42" t="s">
        <v>24</v>
      </c>
      <c r="H2" s="101">
        <f>PatientGeboren</f>
        <v>21916</v>
      </c>
      <c r="I2" s="43" t="s">
        <v>49</v>
      </c>
      <c r="J2" s="41" t="str">
        <f ca="1">DATEDIF(PatientGeboren,NOW(),"y")&amp;"J "&amp;MOD(DATEDIF(PatientGeboren,NOW(),"m"),12)&amp;"M"</f>
        <v>61J 8M</v>
      </c>
      <c r="K2" s="42" t="s">
        <v>5</v>
      </c>
      <c r="L2" s="102" t="str">
        <f>PatientGeschlecht</f>
        <v>m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64"/>
      <c r="B3" s="103"/>
      <c r="C3" s="42" t="s">
        <v>6</v>
      </c>
      <c r="D3" s="226" t="str">
        <f>IF(Diagnose="","-",Diagnose)</f>
        <v>Pankreaskarzinom</v>
      </c>
      <c r="E3" s="227"/>
      <c r="F3" s="228"/>
      <c r="G3" s="42" t="s">
        <v>7</v>
      </c>
      <c r="H3" s="46" t="str">
        <f>IF(Stadium="","",Stadium)</f>
        <v>IV</v>
      </c>
      <c r="I3" s="43" t="s">
        <v>44</v>
      </c>
      <c r="J3" s="104" t="str">
        <f>IF(Therapiemodus&lt;&gt;"",Therapiemodus,"")</f>
        <v>Erstlinie</v>
      </c>
      <c r="K3" s="42" t="s">
        <v>42</v>
      </c>
      <c r="L3" s="105">
        <f>IF(ErstdiagnoseDatum,ErstdiagnoseDatum,"")</f>
        <v>44356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64"/>
      <c r="B4" s="103"/>
      <c r="C4" s="42" t="s">
        <v>35</v>
      </c>
      <c r="D4" s="12">
        <f>GroesseCM</f>
        <v>170</v>
      </c>
      <c r="E4" s="42" t="s">
        <v>38</v>
      </c>
      <c r="F4" s="106">
        <f>KG</f>
        <v>75</v>
      </c>
      <c r="G4" s="42" t="s">
        <v>39</v>
      </c>
      <c r="H4" s="107">
        <f>KG_1^0.425*GroesseCM_1^0.725/139.315</f>
        <v>1.8619954939793939</v>
      </c>
      <c r="I4" s="42" t="s">
        <v>40</v>
      </c>
      <c r="J4" s="75" t="str">
        <f>PatientInfusionsarm</f>
        <v>rechts</v>
      </c>
      <c r="K4" s="42" t="s">
        <v>8</v>
      </c>
      <c r="L4" s="108">
        <f>IF(PatientID="","",PatientID)</f>
        <v>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4"/>
      <c r="B5" s="109"/>
      <c r="C5" s="42" t="s">
        <v>36</v>
      </c>
      <c r="D5" s="110">
        <f>PatientSerumKreatinin</f>
        <v>0.8</v>
      </c>
      <c r="E5" s="43" t="s">
        <v>43</v>
      </c>
      <c r="F5" s="82">
        <f>PatientSerumKreatininDatum</f>
        <v>44445</v>
      </c>
      <c r="G5" s="44" t="str">
        <f>"GFR " &amp; shortGFR(sGFR)</f>
        <v>GFR NM</v>
      </c>
      <c r="H5" s="111">
        <f ca="1">fGFR(F4,D4,PatientAlter,PatientGeschlecht,D5)</f>
        <v>98.988629165216764</v>
      </c>
      <c r="I5" s="42" t="s">
        <v>41</v>
      </c>
      <c r="J5" s="75" t="str">
        <f>PatientPort</f>
        <v>rechts</v>
      </c>
      <c r="K5" s="42" t="s">
        <v>9</v>
      </c>
      <c r="L5" s="108">
        <f>IF(Auftragsnummer="","",Auftragsnummer)</f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x14ac:dyDescent="0.25">
      <c r="A6" s="164"/>
      <c r="B6" s="112"/>
      <c r="C6" s="23" t="s">
        <v>58</v>
      </c>
      <c r="D6" s="105">
        <f>Therapiebeginn</f>
        <v>44445</v>
      </c>
      <c r="E6" s="44" t="s">
        <v>28</v>
      </c>
      <c r="F6" s="113">
        <f>EmpfZyklen</f>
        <v>12</v>
      </c>
      <c r="G6" s="42" t="s">
        <v>26</v>
      </c>
      <c r="H6" s="114">
        <f>IntervallTage</f>
        <v>14</v>
      </c>
      <c r="I6" s="42" t="s">
        <v>37</v>
      </c>
      <c r="J6" s="115">
        <f>DatumErsterZyklus</f>
        <v>44445</v>
      </c>
      <c r="K6" s="42" t="s">
        <v>27</v>
      </c>
      <c r="L6" s="105">
        <f>nächsterZyklus</f>
        <v>44459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25">
      <c r="A7" s="164"/>
      <c r="B7" s="112"/>
      <c r="C7" s="42" t="s">
        <v>52</v>
      </c>
      <c r="D7" s="116" t="str">
        <f>Dateipfad</f>
        <v>c:\Protokolle</v>
      </c>
      <c r="E7" s="117"/>
      <c r="F7" s="118"/>
      <c r="G7" s="117"/>
      <c r="H7" s="119"/>
      <c r="I7" s="5"/>
      <c r="J7" s="5"/>
      <c r="K7" s="120"/>
      <c r="L7" s="2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5" thickBot="1" x14ac:dyDescent="0.3">
      <c r="A8" s="164"/>
      <c r="B8" s="112"/>
      <c r="C8" s="42"/>
      <c r="D8" s="116"/>
      <c r="E8" s="117"/>
      <c r="F8" s="118"/>
      <c r="G8" s="117"/>
      <c r="H8" s="119"/>
      <c r="I8" s="5"/>
      <c r="J8" s="5"/>
      <c r="K8" s="120"/>
      <c r="L8" s="2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.5" thickBot="1" x14ac:dyDescent="0.3">
      <c r="A9" s="83"/>
      <c r="B9" s="121"/>
      <c r="C9" s="122" t="s">
        <v>17</v>
      </c>
      <c r="D9" s="47">
        <f>PDateOV_1</f>
        <v>44445</v>
      </c>
      <c r="E9" s="123" t="s">
        <v>18</v>
      </c>
      <c r="F9" s="123">
        <v>1</v>
      </c>
      <c r="G9" s="123" t="s">
        <v>29</v>
      </c>
      <c r="H9" s="123">
        <f>Zyklusnummer</f>
        <v>1</v>
      </c>
      <c r="I9" s="124" t="s">
        <v>0</v>
      </c>
      <c r="J9" s="125">
        <v>0</v>
      </c>
      <c r="K9" s="126"/>
      <c r="L9" s="12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6.25" customHeight="1" x14ac:dyDescent="0.2">
      <c r="A10" s="83"/>
      <c r="B10" s="128" t="s">
        <v>14</v>
      </c>
      <c r="C10" s="129" t="s">
        <v>11</v>
      </c>
      <c r="D10" s="130" t="s">
        <v>10</v>
      </c>
      <c r="E10" s="129" t="s">
        <v>12</v>
      </c>
      <c r="F10" s="129" t="s">
        <v>55</v>
      </c>
      <c r="G10" s="229" t="s">
        <v>13</v>
      </c>
      <c r="H10" s="229"/>
      <c r="I10" s="229" t="s">
        <v>16</v>
      </c>
      <c r="J10" s="229"/>
      <c r="K10" s="131" t="s">
        <v>15</v>
      </c>
      <c r="L10" s="132" t="s">
        <v>54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83"/>
      <c r="B11" s="133" t="s">
        <v>59</v>
      </c>
      <c r="C11" s="134"/>
      <c r="D11" s="134"/>
      <c r="E11" s="134"/>
      <c r="F11" s="134"/>
      <c r="G11" s="135"/>
      <c r="H11" s="135"/>
      <c r="I11" s="135"/>
      <c r="J11" s="135"/>
      <c r="K11" s="134"/>
      <c r="L11" s="136" t="s">
        <v>60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83"/>
      <c r="B12" s="137" t="s">
        <v>31</v>
      </c>
      <c r="C12" s="138" t="s">
        <v>61</v>
      </c>
      <c r="D12" s="139">
        <f>PMSID_2435_1_B_D*1*PMSID_2435_1_F_D</f>
        <v>500</v>
      </c>
      <c r="E12" s="48">
        <v>500</v>
      </c>
      <c r="F12" s="140">
        <v>1</v>
      </c>
      <c r="G12" s="230" t="s">
        <v>53</v>
      </c>
      <c r="H12" s="230"/>
      <c r="I12" s="231" t="s">
        <v>62</v>
      </c>
      <c r="J12" s="230"/>
      <c r="K12" s="30" t="s">
        <v>63</v>
      </c>
      <c r="L12" s="14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83"/>
      <c r="B13" s="142"/>
      <c r="C13" s="143"/>
      <c r="D13" s="143"/>
      <c r="E13" s="143"/>
      <c r="F13" s="143"/>
      <c r="G13" s="232"/>
      <c r="H13" s="233"/>
      <c r="I13" s="232"/>
      <c r="J13" s="233"/>
      <c r="K13" s="143"/>
      <c r="L13" s="14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6"/>
      <c r="B14" s="145" t="s">
        <v>64</v>
      </c>
      <c r="C14" s="146"/>
      <c r="D14" s="146"/>
      <c r="E14" s="146"/>
      <c r="F14" s="146"/>
      <c r="G14" s="147"/>
      <c r="H14" s="147"/>
      <c r="I14" s="147"/>
      <c r="J14" s="147"/>
      <c r="K14" s="146"/>
      <c r="L14" s="148" t="s">
        <v>60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6"/>
      <c r="B15" s="137" t="s">
        <v>31</v>
      </c>
      <c r="C15" s="138" t="s">
        <v>65</v>
      </c>
      <c r="D15" s="51">
        <f>PMSID_947_1_B_D*1*PMSID_947_1_F_D</f>
        <v>8</v>
      </c>
      <c r="E15" s="49">
        <v>8</v>
      </c>
      <c r="F15" s="140">
        <v>1</v>
      </c>
      <c r="G15" s="230" t="s">
        <v>66</v>
      </c>
      <c r="H15" s="230"/>
      <c r="I15" s="231" t="s">
        <v>67</v>
      </c>
      <c r="J15" s="230"/>
      <c r="K15" s="30" t="s">
        <v>68</v>
      </c>
      <c r="L15" s="14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6"/>
      <c r="B16" s="142"/>
      <c r="C16" s="143"/>
      <c r="D16" s="143"/>
      <c r="E16" s="143"/>
      <c r="F16" s="143"/>
      <c r="G16" s="232"/>
      <c r="H16" s="233"/>
      <c r="I16" s="232"/>
      <c r="J16" s="233"/>
      <c r="K16" s="143"/>
      <c r="L16" s="14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6"/>
      <c r="B17" s="137" t="s">
        <v>31</v>
      </c>
      <c r="C17" s="138" t="s">
        <v>69</v>
      </c>
      <c r="D17" s="51">
        <f>PMSID_948_1_B_D*1*PMSID_948_1_F_D</f>
        <v>1</v>
      </c>
      <c r="E17" s="49">
        <v>1</v>
      </c>
      <c r="F17" s="140">
        <v>1</v>
      </c>
      <c r="G17" s="230" t="s">
        <v>66</v>
      </c>
      <c r="H17" s="230"/>
      <c r="I17" s="231" t="s">
        <v>70</v>
      </c>
      <c r="J17" s="230"/>
      <c r="K17" s="30" t="s">
        <v>68</v>
      </c>
      <c r="L17" s="14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6"/>
      <c r="B18" s="142"/>
      <c r="C18" s="143"/>
      <c r="D18" s="143"/>
      <c r="E18" s="143"/>
      <c r="F18" s="143"/>
      <c r="G18" s="232"/>
      <c r="H18" s="233"/>
      <c r="I18" s="232"/>
      <c r="J18" s="233"/>
      <c r="K18" s="143"/>
      <c r="L18" s="14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idden="1" x14ac:dyDescent="0.2">
      <c r="A19" s="6"/>
      <c r="B19" s="137" t="s">
        <v>32</v>
      </c>
      <c r="C19" s="138" t="s">
        <v>65</v>
      </c>
      <c r="D19" s="51">
        <f>PMSID_11533_1_B_D*1*PMSID_11533_1_F_D</f>
        <v>0</v>
      </c>
      <c r="E19" s="49">
        <v>8</v>
      </c>
      <c r="F19" s="140">
        <v>0</v>
      </c>
      <c r="G19" s="230" t="s">
        <v>53</v>
      </c>
      <c r="H19" s="230"/>
      <c r="I19" s="231" t="s">
        <v>71</v>
      </c>
      <c r="J19" s="230"/>
      <c r="K19" s="30" t="s">
        <v>72</v>
      </c>
      <c r="L19" s="14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idden="1" x14ac:dyDescent="0.2">
      <c r="A20" s="6"/>
      <c r="B20" s="142"/>
      <c r="C20" s="143"/>
      <c r="D20" s="143"/>
      <c r="E20" s="143"/>
      <c r="F20" s="143"/>
      <c r="G20" s="232"/>
      <c r="H20" s="233"/>
      <c r="I20" s="232"/>
      <c r="J20" s="233"/>
      <c r="K20" s="143"/>
      <c r="L20" s="14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6"/>
      <c r="B21" s="149" t="s">
        <v>73</v>
      </c>
      <c r="C21" s="150"/>
      <c r="D21" s="150"/>
      <c r="E21" s="150"/>
      <c r="F21" s="150"/>
      <c r="G21" s="151"/>
      <c r="H21" s="151"/>
      <c r="I21" s="151"/>
      <c r="J21" s="151"/>
      <c r="K21" s="150"/>
      <c r="L21" s="152" t="s">
        <v>74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6"/>
      <c r="B22" s="137" t="s">
        <v>31</v>
      </c>
      <c r="C22" s="138" t="s">
        <v>75</v>
      </c>
      <c r="D22" s="153">
        <f>PMSID_6608_1_B_D*KOF_1*PMSID_6608_1_F_D</f>
        <v>158.26961698824849</v>
      </c>
      <c r="E22" s="50">
        <v>85</v>
      </c>
      <c r="F22" s="140">
        <v>1</v>
      </c>
      <c r="G22" s="230" t="s">
        <v>76</v>
      </c>
      <c r="H22" s="230"/>
      <c r="I22" s="231" t="s">
        <v>77</v>
      </c>
      <c r="J22" s="230"/>
      <c r="K22" s="30" t="s">
        <v>78</v>
      </c>
      <c r="L22" s="14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6"/>
      <c r="B23" s="142"/>
      <c r="C23" s="143"/>
      <c r="D23" s="143"/>
      <c r="E23" s="143"/>
      <c r="F23" s="143"/>
      <c r="G23" s="232"/>
      <c r="H23" s="233"/>
      <c r="I23" s="232"/>
      <c r="J23" s="233"/>
      <c r="K23" s="143"/>
      <c r="L23" s="144"/>
      <c r="M23" s="5"/>
      <c r="N23" s="5"/>
      <c r="O23" s="5"/>
      <c r="P23" s="154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6"/>
      <c r="B24" s="137" t="s">
        <v>31</v>
      </c>
      <c r="C24" s="138" t="s">
        <v>79</v>
      </c>
      <c r="D24" s="153">
        <f>PMSID_6606_1_B_D*KOF_1*PMSID_6606_1_F_D</f>
        <v>744.79819759175757</v>
      </c>
      <c r="E24" s="50">
        <v>400</v>
      </c>
      <c r="F24" s="140">
        <v>1</v>
      </c>
      <c r="G24" s="230" t="s">
        <v>80</v>
      </c>
      <c r="H24" s="230"/>
      <c r="I24" s="231" t="s">
        <v>77</v>
      </c>
      <c r="J24" s="230"/>
      <c r="K24" s="30" t="s">
        <v>78</v>
      </c>
      <c r="L24" s="14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6"/>
      <c r="B25" s="142"/>
      <c r="C25" s="143"/>
      <c r="D25" s="143"/>
      <c r="E25" s="143"/>
      <c r="F25" s="143"/>
      <c r="G25" s="232"/>
      <c r="H25" s="233"/>
      <c r="I25" s="232"/>
      <c r="J25" s="233"/>
      <c r="K25" s="143"/>
      <c r="L25" s="14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6"/>
      <c r="B26" s="137" t="s">
        <v>31</v>
      </c>
      <c r="C26" s="138" t="s">
        <v>81</v>
      </c>
      <c r="D26" s="153">
        <f>PMSID_6607_1_B_D*KOF_1*PMSID_6607_1_F_D</f>
        <v>335.15918891629093</v>
      </c>
      <c r="E26" s="50">
        <v>180</v>
      </c>
      <c r="F26" s="140">
        <v>1</v>
      </c>
      <c r="G26" s="230" t="s">
        <v>80</v>
      </c>
      <c r="H26" s="230"/>
      <c r="I26" s="231" t="s">
        <v>82</v>
      </c>
      <c r="J26" s="230"/>
      <c r="K26" s="30" t="s">
        <v>83</v>
      </c>
      <c r="L26" s="14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6"/>
      <c r="B27" s="142"/>
      <c r="C27" s="143"/>
      <c r="D27" s="143"/>
      <c r="E27" s="143"/>
      <c r="F27" s="143"/>
      <c r="G27" s="232"/>
      <c r="H27" s="233"/>
      <c r="I27" s="232"/>
      <c r="J27" s="233"/>
      <c r="K27" s="143"/>
      <c r="L27" s="14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6"/>
      <c r="B28" s="137" t="s">
        <v>31</v>
      </c>
      <c r="C28" s="138" t="s">
        <v>84</v>
      </c>
      <c r="D28" s="153">
        <f>PMSID_6609_1_B_D*KOF_1*PMSID_6609_1_F_D</f>
        <v>744.79819759175757</v>
      </c>
      <c r="E28" s="50">
        <v>400</v>
      </c>
      <c r="F28" s="140">
        <v>1</v>
      </c>
      <c r="G28" s="230" t="s">
        <v>53</v>
      </c>
      <c r="H28" s="230"/>
      <c r="I28" s="231" t="s">
        <v>77</v>
      </c>
      <c r="J28" s="230"/>
      <c r="K28" s="30" t="s">
        <v>85</v>
      </c>
      <c r="L28" s="14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6"/>
      <c r="B29" s="142"/>
      <c r="C29" s="143"/>
      <c r="D29" s="143"/>
      <c r="E29" s="143"/>
      <c r="F29" s="143"/>
      <c r="G29" s="232"/>
      <c r="H29" s="233"/>
      <c r="I29" s="232"/>
      <c r="J29" s="233"/>
      <c r="K29" s="143"/>
      <c r="L29" s="14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6"/>
      <c r="B30" s="137" t="s">
        <v>31</v>
      </c>
      <c r="C30" s="138" t="s">
        <v>84</v>
      </c>
      <c r="D30" s="153">
        <f>PMSID_6610_1_B_D*KOF_1*PMSID_6610_1_F_D</f>
        <v>4468.789185550545</v>
      </c>
      <c r="E30" s="50">
        <v>2400</v>
      </c>
      <c r="F30" s="140">
        <v>1</v>
      </c>
      <c r="G30" s="230" t="s">
        <v>86</v>
      </c>
      <c r="H30" s="230"/>
      <c r="I30" s="231" t="s">
        <v>77</v>
      </c>
      <c r="J30" s="230"/>
      <c r="K30" s="30" t="s">
        <v>87</v>
      </c>
      <c r="L30" s="14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6"/>
      <c r="B31" s="142"/>
      <c r="C31" s="143"/>
      <c r="D31" s="143"/>
      <c r="E31" s="143"/>
      <c r="F31" s="143"/>
      <c r="G31" s="232"/>
      <c r="H31" s="233"/>
      <c r="I31" s="232"/>
      <c r="J31" s="233"/>
      <c r="K31" s="143"/>
      <c r="L31" s="14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idden="1" x14ac:dyDescent="0.2">
      <c r="A32" s="6"/>
      <c r="B32" s="155" t="s">
        <v>88</v>
      </c>
      <c r="C32" s="156"/>
      <c r="D32" s="156"/>
      <c r="E32" s="156"/>
      <c r="F32" s="156"/>
      <c r="G32" s="157"/>
      <c r="H32" s="157"/>
      <c r="I32" s="157"/>
      <c r="J32" s="157"/>
      <c r="K32" s="156"/>
      <c r="L32" s="158" t="s">
        <v>89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idden="1" x14ac:dyDescent="0.2">
      <c r="A33" s="6"/>
      <c r="B33" s="137" t="s">
        <v>33</v>
      </c>
      <c r="C33" s="138" t="s">
        <v>90</v>
      </c>
      <c r="D33" s="51">
        <f>PMSID_2339_1_B_D*1*PMSID_2339_1_F_D</f>
        <v>0</v>
      </c>
      <c r="E33" s="49">
        <v>6</v>
      </c>
      <c r="F33" s="140">
        <v>0</v>
      </c>
      <c r="G33" s="230" t="s">
        <v>53</v>
      </c>
      <c r="H33" s="230"/>
      <c r="I33" s="231" t="s">
        <v>91</v>
      </c>
      <c r="J33" s="230"/>
      <c r="K33" s="30" t="s">
        <v>72</v>
      </c>
      <c r="L33" s="1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 x14ac:dyDescent="0.2">
      <c r="A34" s="6"/>
      <c r="B34" s="142"/>
      <c r="C34" s="143"/>
      <c r="D34" s="143"/>
      <c r="E34" s="143"/>
      <c r="F34" s="143"/>
      <c r="G34" s="232"/>
      <c r="H34" s="233"/>
      <c r="I34" s="232"/>
      <c r="J34" s="233"/>
      <c r="K34" s="143"/>
      <c r="L34" s="14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idden="1" x14ac:dyDescent="0.2">
      <c r="A35" s="6"/>
      <c r="B35" s="159" t="s">
        <v>92</v>
      </c>
      <c r="C35" s="160"/>
      <c r="D35" s="160"/>
      <c r="E35" s="160"/>
      <c r="F35" s="160"/>
      <c r="G35" s="161"/>
      <c r="H35" s="161"/>
      <c r="I35" s="161"/>
      <c r="J35" s="161"/>
      <c r="K35" s="160"/>
      <c r="L35" s="162" t="s">
        <v>93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idden="1" x14ac:dyDescent="0.2">
      <c r="A36" s="6"/>
      <c r="B36" s="137" t="s">
        <v>32</v>
      </c>
      <c r="C36" s="138"/>
      <c r="D36" s="51">
        <f>PMSID_1_1_B_D*PMSID_1_1_F_D</f>
        <v>0</v>
      </c>
      <c r="E36" s="49">
        <v>0</v>
      </c>
      <c r="F36" s="140">
        <v>0</v>
      </c>
      <c r="G36" s="230" t="s">
        <v>53</v>
      </c>
      <c r="H36" s="230"/>
      <c r="I36" s="231" t="s">
        <v>94</v>
      </c>
      <c r="J36" s="230"/>
      <c r="K36" s="30" t="s">
        <v>72</v>
      </c>
      <c r="L36" s="1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idden="1" x14ac:dyDescent="0.2">
      <c r="A37" s="6"/>
      <c r="B37" s="142"/>
      <c r="C37" s="143"/>
      <c r="D37" s="143"/>
      <c r="E37" s="143"/>
      <c r="F37" s="143"/>
      <c r="G37" s="232"/>
      <c r="H37" s="233"/>
      <c r="I37" s="232"/>
      <c r="J37" s="233"/>
      <c r="K37" s="143"/>
      <c r="L37" s="14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idden="1" x14ac:dyDescent="0.2">
      <c r="A38" s="6"/>
      <c r="B38" s="137" t="s">
        <v>32</v>
      </c>
      <c r="C38" s="138"/>
      <c r="D38" s="51">
        <f>PMSID_2_1_B_D*PMSID_2_1_F_D</f>
        <v>0</v>
      </c>
      <c r="E38" s="49">
        <v>0</v>
      </c>
      <c r="F38" s="140">
        <v>0</v>
      </c>
      <c r="G38" s="230" t="s">
        <v>53</v>
      </c>
      <c r="H38" s="230"/>
      <c r="I38" s="231" t="s">
        <v>94</v>
      </c>
      <c r="J38" s="230"/>
      <c r="K38" s="30" t="s">
        <v>72</v>
      </c>
      <c r="L38" s="1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idden="1" x14ac:dyDescent="0.2">
      <c r="A39" s="6"/>
      <c r="B39" s="142"/>
      <c r="C39" s="143"/>
      <c r="D39" s="143"/>
      <c r="E39" s="143"/>
      <c r="F39" s="143"/>
      <c r="G39" s="232"/>
      <c r="H39" s="233"/>
      <c r="I39" s="232"/>
      <c r="J39" s="233"/>
      <c r="K39" s="143"/>
      <c r="L39" s="14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idden="1" x14ac:dyDescent="0.2">
      <c r="A40" s="6"/>
      <c r="B40" s="137" t="s">
        <v>32</v>
      </c>
      <c r="C40" s="138"/>
      <c r="D40" s="51">
        <f>PMSID_3_1_B_D*PMSID_3_1_F_D</f>
        <v>0</v>
      </c>
      <c r="E40" s="49">
        <v>0</v>
      </c>
      <c r="F40" s="140">
        <v>0</v>
      </c>
      <c r="G40" s="230" t="s">
        <v>53</v>
      </c>
      <c r="H40" s="230"/>
      <c r="I40" s="231" t="s">
        <v>94</v>
      </c>
      <c r="J40" s="230"/>
      <c r="K40" s="30" t="s">
        <v>72</v>
      </c>
      <c r="L40" s="1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idden="1" x14ac:dyDescent="0.2">
      <c r="A41" s="6"/>
      <c r="B41" s="142"/>
      <c r="C41" s="143"/>
      <c r="D41" s="143"/>
      <c r="E41" s="143"/>
      <c r="F41" s="143"/>
      <c r="G41" s="232"/>
      <c r="H41" s="233"/>
      <c r="I41" s="232"/>
      <c r="J41" s="233"/>
      <c r="K41" s="143"/>
      <c r="L41" s="14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idden="1" x14ac:dyDescent="0.2">
      <c r="A42" s="6"/>
      <c r="B42" s="137" t="s">
        <v>32</v>
      </c>
      <c r="C42" s="138"/>
      <c r="D42" s="51">
        <f>PMSID_4_1_B_D*PMSID_4_1_F_D</f>
        <v>0</v>
      </c>
      <c r="E42" s="49">
        <v>0</v>
      </c>
      <c r="F42" s="140">
        <v>0</v>
      </c>
      <c r="G42" s="230" t="s">
        <v>53</v>
      </c>
      <c r="H42" s="230"/>
      <c r="I42" s="231" t="s">
        <v>94</v>
      </c>
      <c r="J42" s="230"/>
      <c r="K42" s="30" t="s">
        <v>72</v>
      </c>
      <c r="L42" s="1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idden="1" x14ac:dyDescent="0.2">
      <c r="A43" s="6"/>
      <c r="B43" s="142"/>
      <c r="C43" s="143"/>
      <c r="D43" s="143"/>
      <c r="E43" s="143"/>
      <c r="F43" s="143"/>
      <c r="G43" s="232"/>
      <c r="H43" s="233"/>
      <c r="I43" s="232"/>
      <c r="J43" s="233"/>
      <c r="K43" s="143"/>
      <c r="L43" s="14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6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6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6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6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6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6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6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6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6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6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6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6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6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6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6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6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6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6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6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6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6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6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6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6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6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6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6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6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6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6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6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6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6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6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6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6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6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6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6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6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6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6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6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6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6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6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6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6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6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6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6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6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6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6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6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6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6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6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6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6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6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6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6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6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6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6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6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6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6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6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6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6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6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6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6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6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6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6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6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6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6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6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6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6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6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6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6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6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6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KnGjbkO/TXH9qWSeD+HbiR6hE+H7gOUkhMrjYkffDC8N0BKyrVEbsRHV76mhV/CAb2Ro/winTBt+mZxkjOhbOQ==" saltValue="yMyoNJK9+BUur3d+IKH+zw==" spinCount="100000" sheet="1" objects="1" scenarios="1"/>
  <dataConsolidate/>
  <mergeCells count="62">
    <mergeCell ref="G43:H43"/>
    <mergeCell ref="I43:J43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3:H33"/>
    <mergeCell ref="I33:J33"/>
    <mergeCell ref="G34:H34"/>
    <mergeCell ref="I34:J34"/>
    <mergeCell ref="G36:H36"/>
    <mergeCell ref="I36:J36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19:H19"/>
    <mergeCell ref="I19:J19"/>
    <mergeCell ref="G20:H20"/>
    <mergeCell ref="I20:J20"/>
    <mergeCell ref="G22:H22"/>
    <mergeCell ref="I22:J22"/>
    <mergeCell ref="G16:H16"/>
    <mergeCell ref="I16:J16"/>
    <mergeCell ref="G17:H17"/>
    <mergeCell ref="I17:J17"/>
    <mergeCell ref="G18:H18"/>
    <mergeCell ref="I18:J18"/>
    <mergeCell ref="G12:H12"/>
    <mergeCell ref="I12:J12"/>
    <mergeCell ref="G13:H13"/>
    <mergeCell ref="I13:J13"/>
    <mergeCell ref="G15:H15"/>
    <mergeCell ref="I15:J15"/>
    <mergeCell ref="A1:A8"/>
    <mergeCell ref="B1:J1"/>
    <mergeCell ref="B2:F2"/>
    <mergeCell ref="D3:F3"/>
    <mergeCell ref="G10:H10"/>
    <mergeCell ref="I10:J10"/>
  </mergeCells>
  <conditionalFormatting sqref="D5">
    <cfRule type="cellIs" dxfId="139" priority="35" stopIfTrue="1" operator="equal">
      <formula>0</formula>
    </cfRule>
  </conditionalFormatting>
  <conditionalFormatting sqref="L4">
    <cfRule type="cellIs" dxfId="138" priority="34" stopIfTrue="1" operator="equal">
      <formula>0</formula>
    </cfRule>
  </conditionalFormatting>
  <conditionalFormatting sqref="L5">
    <cfRule type="cellIs" dxfId="137" priority="33" stopIfTrue="1" operator="equal">
      <formula>0</formula>
    </cfRule>
  </conditionalFormatting>
  <conditionalFormatting sqref="J4">
    <cfRule type="cellIs" dxfId="136" priority="32" stopIfTrue="1" operator="equal">
      <formula>0</formula>
    </cfRule>
  </conditionalFormatting>
  <conditionalFormatting sqref="H4">
    <cfRule type="expression" dxfId="135" priority="31">
      <formula>$H$4&gt;2.4</formula>
    </cfRule>
  </conditionalFormatting>
  <conditionalFormatting sqref="D9">
    <cfRule type="expression" dxfId="134" priority="30">
      <formula>NOT(_xlfn.ISFORMULA(D9))</formula>
    </cfRule>
  </conditionalFormatting>
  <conditionalFormatting sqref="J6">
    <cfRule type="cellIs" dxfId="133" priority="29" operator="equal">
      <formula>0</formula>
    </cfRule>
  </conditionalFormatting>
  <conditionalFormatting sqref="F12">
    <cfRule type="cellIs" dxfId="132" priority="27" stopIfTrue="1" operator="notEqual">
      <formula>1</formula>
    </cfRule>
  </conditionalFormatting>
  <conditionalFormatting sqref="B12">
    <cfRule type="cellIs" dxfId="131" priority="28" stopIfTrue="1" operator="equal">
      <formula>"i.v."</formula>
    </cfRule>
  </conditionalFormatting>
  <conditionalFormatting sqref="F15">
    <cfRule type="cellIs" dxfId="130" priority="25" stopIfTrue="1" operator="notEqual">
      <formula>1</formula>
    </cfRule>
  </conditionalFormatting>
  <conditionalFormatting sqref="B15">
    <cfRule type="cellIs" dxfId="129" priority="26" stopIfTrue="1" operator="equal">
      <formula>"i.v."</formula>
    </cfRule>
  </conditionalFormatting>
  <conditionalFormatting sqref="F17">
    <cfRule type="cellIs" dxfId="128" priority="23" stopIfTrue="1" operator="notEqual">
      <formula>1</formula>
    </cfRule>
  </conditionalFormatting>
  <conditionalFormatting sqref="B17">
    <cfRule type="cellIs" dxfId="127" priority="24" stopIfTrue="1" operator="equal">
      <formula>"i.v."</formula>
    </cfRule>
  </conditionalFormatting>
  <conditionalFormatting sqref="F19">
    <cfRule type="cellIs" dxfId="126" priority="21" stopIfTrue="1" operator="notEqual">
      <formula>1</formula>
    </cfRule>
  </conditionalFormatting>
  <conditionalFormatting sqref="B19">
    <cfRule type="cellIs" dxfId="125" priority="22" stopIfTrue="1" operator="equal">
      <formula>"i.v."</formula>
    </cfRule>
  </conditionalFormatting>
  <conditionalFormatting sqref="F22">
    <cfRule type="cellIs" dxfId="124" priority="19" stopIfTrue="1" operator="notEqual">
      <formula>1</formula>
    </cfRule>
  </conditionalFormatting>
  <conditionalFormatting sqref="B22">
    <cfRule type="cellIs" dxfId="123" priority="20" stopIfTrue="1" operator="equal">
      <formula>"i.v."</formula>
    </cfRule>
  </conditionalFormatting>
  <conditionalFormatting sqref="F24">
    <cfRule type="cellIs" dxfId="122" priority="17" stopIfTrue="1" operator="notEqual">
      <formula>1</formula>
    </cfRule>
  </conditionalFormatting>
  <conditionalFormatting sqref="B24">
    <cfRule type="cellIs" dxfId="121" priority="18" stopIfTrue="1" operator="equal">
      <formula>"i.v."</formula>
    </cfRule>
  </conditionalFormatting>
  <conditionalFormatting sqref="F26">
    <cfRule type="cellIs" dxfId="120" priority="15" stopIfTrue="1" operator="notEqual">
      <formula>1</formula>
    </cfRule>
  </conditionalFormatting>
  <conditionalFormatting sqref="B26">
    <cfRule type="cellIs" dxfId="119" priority="16" stopIfTrue="1" operator="equal">
      <formula>"i.v."</formula>
    </cfRule>
  </conditionalFormatting>
  <conditionalFormatting sqref="F28">
    <cfRule type="cellIs" dxfId="118" priority="13" stopIfTrue="1" operator="notEqual">
      <formula>1</formula>
    </cfRule>
  </conditionalFormatting>
  <conditionalFormatting sqref="B28">
    <cfRule type="cellIs" dxfId="117" priority="14" stopIfTrue="1" operator="equal">
      <formula>"i.v."</formula>
    </cfRule>
  </conditionalFormatting>
  <conditionalFormatting sqref="F30">
    <cfRule type="cellIs" dxfId="116" priority="11" stopIfTrue="1" operator="notEqual">
      <formula>1</formula>
    </cfRule>
  </conditionalFormatting>
  <conditionalFormatting sqref="B30">
    <cfRule type="cellIs" dxfId="115" priority="12" stopIfTrue="1" operator="equal">
      <formula>"i.v."</formula>
    </cfRule>
  </conditionalFormatting>
  <conditionalFormatting sqref="F33">
    <cfRule type="cellIs" dxfId="114" priority="9" stopIfTrue="1" operator="notEqual">
      <formula>1</formula>
    </cfRule>
  </conditionalFormatting>
  <conditionalFormatting sqref="B33">
    <cfRule type="cellIs" dxfId="113" priority="10" stopIfTrue="1" operator="equal">
      <formula>"i.v."</formula>
    </cfRule>
  </conditionalFormatting>
  <conditionalFormatting sqref="F36">
    <cfRule type="cellIs" dxfId="112" priority="7" stopIfTrue="1" operator="notEqual">
      <formula>1</formula>
    </cfRule>
  </conditionalFormatting>
  <conditionalFormatting sqref="B36">
    <cfRule type="cellIs" dxfId="111" priority="8" stopIfTrue="1" operator="equal">
      <formula>"i.v."</formula>
    </cfRule>
  </conditionalFormatting>
  <conditionalFormatting sqref="F38">
    <cfRule type="cellIs" dxfId="110" priority="5" stopIfTrue="1" operator="notEqual">
      <formula>1</formula>
    </cfRule>
  </conditionalFormatting>
  <conditionalFormatting sqref="B38">
    <cfRule type="cellIs" dxfId="109" priority="6" stopIfTrue="1" operator="equal">
      <formula>"i.v."</formula>
    </cfRule>
  </conditionalFormatting>
  <conditionalFormatting sqref="F40">
    <cfRule type="cellIs" dxfId="108" priority="3" stopIfTrue="1" operator="notEqual">
      <formula>1</formula>
    </cfRule>
  </conditionalFormatting>
  <conditionalFormatting sqref="B40">
    <cfRule type="cellIs" dxfId="107" priority="4" stopIfTrue="1" operator="equal">
      <formula>"i.v."</formula>
    </cfRule>
  </conditionalFormatting>
  <conditionalFormatting sqref="F42">
    <cfRule type="cellIs" dxfId="106" priority="1" stopIfTrue="1" operator="notEqual">
      <formula>1</formula>
    </cfRule>
  </conditionalFormatting>
  <conditionalFormatting sqref="B42">
    <cfRule type="cellIs" dxfId="105" priority="2" stopIfTrue="1" operator="equal">
      <formula>"i.v."</formula>
    </cfRule>
  </conditionalFormatting>
  <dataValidations count="7">
    <dataValidation type="date" allowBlank="1" showInputMessage="1" showErrorMessage="1" sqref="D9 F5">
      <formula1>36526</formula1>
      <formula2>55153</formula2>
    </dataValidation>
    <dataValidation type="decimal" allowBlank="1" showInputMessage="1" showErrorMessage="1" promptTitle="Dosismodifikation" prompt="0-150%" sqref="F12 F15 F17 F19 F22 F24 F26 F28 F30 F33 F36 F38 F40 F42">
      <formula1>0</formula1>
      <formula2>15</formula2>
    </dataValidation>
    <dataValidation type="list" allowBlank="1" showInputMessage="1" showErrorMessage="1" sqref="J5">
      <formula1>"rechts,links,-"</formula1>
    </dataValidation>
    <dataValidation type="list" allowBlank="1" showInputMessage="1" showErrorMessage="1" sqref="J4">
      <formula1>"-,rechts,links"</formula1>
    </dataValidation>
    <dataValidation type="decimal" allowBlank="1" showInputMessage="1" showErrorMessage="1" errorTitle="Grenzwerte" error="Nur Werte zwischen 40 und 250 erlaubt!" sqref="F4">
      <formula1>40</formula1>
      <formula2>250</formula2>
    </dataValidation>
    <dataValidation type="decimal" allowBlank="1" showInputMessage="1" showErrorMessage="1" errorTitle="Grenzwerte" error="Nur Werte zwischen 120 und 220 erlaubt!" sqref="D4">
      <formula1>120</formula1>
      <formula2>230</formula2>
    </dataValidation>
    <dataValidation type="decimal" allowBlank="1" showInputMessage="1" showErrorMessage="1" errorTitle="Grenzwerte" error="Nur Werte zwischen 0,3 und 5 erlaubt!" sqref="D5">
      <formula1>0.3</formula1>
      <formula2>5</formula2>
    </dataValidation>
  </dataValidations>
  <pageMargins left="0" right="0" top="0.78740157480314965" bottom="0.78740157480314965" header="0" footer="0"/>
  <pageSetup paperSize="9" scale="93" fitToHeight="0" orientation="landscape" r:id="rId1"/>
  <headerFooter>
    <oddHeader>&amp;C&amp;G&amp;LOnk. Amb. privat_x000D_Telefon: 1234_x000D_Fax: 5678&amp;RPraxis_x000D_Prof. Dr. Hans Mustermann_x000D_Onkologische Ambulanz</oddHeader>
    <oddFooter>&amp;LAnordnung (Vorname, Name, Datum)&amp;CDie Herausgeber und Autoren übernehmen keine Haftung für die Richtigkeit der Inhalte._x000D_Eine Plausibilitätsprüfung des Therapieplans durch den Arzt ist erforderlich.&amp;ROnkopti® (PID=47 V1.2)_x000D_01.09.2021 15:36:24_x000D_&amp;P/&amp;N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Z1000"/>
  <sheetViews>
    <sheetView showGridLines="0" zoomScale="115" zoomScaleNormal="115" workbookViewId="0">
      <selection activeCell="B42" sqref="B42:L43"/>
    </sheetView>
  </sheetViews>
  <sheetFormatPr defaultColWidth="11.42578125" defaultRowHeight="12.75" x14ac:dyDescent="0.2"/>
  <cols>
    <col min="1" max="1" width="3.7109375" style="1" customWidth="1"/>
    <col min="2" max="2" width="6.28515625" style="37" customWidth="1"/>
    <col min="3" max="3" width="22.42578125" style="37" customWidth="1"/>
    <col min="4" max="4" width="16.5703125" style="37" customWidth="1"/>
    <col min="5" max="5" width="14.140625" style="37" customWidth="1"/>
    <col min="6" max="6" width="13.42578125" style="37" customWidth="1"/>
    <col min="7" max="7" width="16.140625" style="37" customWidth="1"/>
    <col min="8" max="8" width="11.5703125" style="37" customWidth="1"/>
    <col min="9" max="9" width="15.42578125" style="37" customWidth="1"/>
    <col min="10" max="10" width="13.140625" style="37" customWidth="1"/>
    <col min="11" max="11" width="16.140625" style="37" customWidth="1"/>
    <col min="12" max="12" width="10.85546875" style="37" customWidth="1"/>
    <col min="13" max="16384" width="11.42578125" style="37"/>
  </cols>
  <sheetData>
    <row r="1" spans="1:26" ht="12.75" customHeight="1" x14ac:dyDescent="0.2">
      <c r="A1" s="164" t="s">
        <v>57</v>
      </c>
      <c r="B1" s="196" t="str">
        <f>Protokollname</f>
        <v>FOLFIRINOX - Oxaliplatin 85 / Folinsäure 400 / Irinotecan 180 / Fluorouracil 2400, metastasiertes Pankreaskarzinom (PID=47 V1.2)</v>
      </c>
      <c r="C1" s="196"/>
      <c r="D1" s="196"/>
      <c r="E1" s="196"/>
      <c r="F1" s="196"/>
      <c r="G1" s="196"/>
      <c r="H1" s="196"/>
      <c r="I1" s="196"/>
      <c r="J1" s="196"/>
      <c r="K1" s="40"/>
      <c r="L1" s="44" t="str">
        <f>"Z" &amp; Zyklusnummer &amp; "/d" &amp; F9</f>
        <v>Z1/d2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x14ac:dyDescent="0.25">
      <c r="A2" s="164"/>
      <c r="B2" s="223" t="str">
        <f>IF(PatientName="","",PatientName)</f>
        <v>Doe, John</v>
      </c>
      <c r="C2" s="224"/>
      <c r="D2" s="224"/>
      <c r="E2" s="224"/>
      <c r="F2" s="225"/>
      <c r="G2" s="42" t="s">
        <v>24</v>
      </c>
      <c r="H2" s="101">
        <f>PatientGeboren</f>
        <v>21916</v>
      </c>
      <c r="I2" s="43" t="s">
        <v>49</v>
      </c>
      <c r="J2" s="41" t="str">
        <f ca="1">DATEDIF(PatientGeboren,NOW(),"y")&amp;"J "&amp;MOD(DATEDIF(PatientGeboren,NOW(),"m"),12)&amp;"M"</f>
        <v>61J 8M</v>
      </c>
      <c r="K2" s="42" t="s">
        <v>5</v>
      </c>
      <c r="L2" s="102" t="str">
        <f>PatientGeschlecht</f>
        <v>m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64"/>
      <c r="B3" s="103"/>
      <c r="C3" s="42" t="s">
        <v>6</v>
      </c>
      <c r="D3" s="226" t="str">
        <f>IF(Diagnose="","-",Diagnose)</f>
        <v>Pankreaskarzinom</v>
      </c>
      <c r="E3" s="227"/>
      <c r="F3" s="228"/>
      <c r="G3" s="42" t="s">
        <v>7</v>
      </c>
      <c r="H3" s="46" t="str">
        <f>IF(Stadium="","",Stadium)</f>
        <v>IV</v>
      </c>
      <c r="I3" s="43" t="s">
        <v>44</v>
      </c>
      <c r="J3" s="104" t="str">
        <f>IF(Therapiemodus&lt;&gt;"",Therapiemodus,"")</f>
        <v>Erstlinie</v>
      </c>
      <c r="K3" s="42" t="s">
        <v>42</v>
      </c>
      <c r="L3" s="105">
        <f>IF(ErstdiagnoseDatum,ErstdiagnoseDatum,"")</f>
        <v>44356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64"/>
      <c r="B4" s="103"/>
      <c r="C4" s="42" t="s">
        <v>35</v>
      </c>
      <c r="D4" s="12">
        <f>GroesseCM_1</f>
        <v>170</v>
      </c>
      <c r="E4" s="42" t="s">
        <v>38</v>
      </c>
      <c r="F4" s="106">
        <f>KG_1</f>
        <v>75</v>
      </c>
      <c r="G4" s="42" t="s">
        <v>39</v>
      </c>
      <c r="H4" s="107">
        <f>KG_2^0.425*GroesseCM_2^0.725/139.315</f>
        <v>1.8619954939793939</v>
      </c>
      <c r="I4" s="42" t="s">
        <v>40</v>
      </c>
      <c r="J4" s="75" t="str">
        <f>PatientInfusionsarm</f>
        <v>rechts</v>
      </c>
      <c r="K4" s="42" t="s">
        <v>8</v>
      </c>
      <c r="L4" s="108">
        <f>IF(PatientID="","",PatientID)</f>
        <v>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4"/>
      <c r="B5" s="109"/>
      <c r="C5" s="42" t="s">
        <v>36</v>
      </c>
      <c r="D5" s="110">
        <f>SerumKreatinin_1</f>
        <v>0.8</v>
      </c>
      <c r="E5" s="43" t="s">
        <v>43</v>
      </c>
      <c r="F5" s="82">
        <f>SerumKreatininDatum_1</f>
        <v>44445</v>
      </c>
      <c r="G5" s="44" t="str">
        <f>"GFR " &amp; shortGFR(sGFR)</f>
        <v>GFR NM</v>
      </c>
      <c r="H5" s="111">
        <f ca="1">fGFR(F4,D4,PatientAlter,PatientGeschlecht,D5)</f>
        <v>98.988629165216764</v>
      </c>
      <c r="I5" s="42" t="s">
        <v>41</v>
      </c>
      <c r="J5" s="75" t="str">
        <f>PatientPort</f>
        <v>rechts</v>
      </c>
      <c r="K5" s="42" t="s">
        <v>9</v>
      </c>
      <c r="L5" s="108">
        <f>IF(Auftragsnummer="","",Auftragsnummer)</f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x14ac:dyDescent="0.25">
      <c r="A6" s="164"/>
      <c r="B6" s="112"/>
      <c r="C6" s="23" t="s">
        <v>58</v>
      </c>
      <c r="D6" s="105">
        <f>Therapiebeginn</f>
        <v>44445</v>
      </c>
      <c r="E6" s="44" t="s">
        <v>28</v>
      </c>
      <c r="F6" s="113">
        <f>EmpfZyklen</f>
        <v>12</v>
      </c>
      <c r="G6" s="42" t="s">
        <v>26</v>
      </c>
      <c r="H6" s="114">
        <f>IntervallTage</f>
        <v>14</v>
      </c>
      <c r="I6" s="42" t="s">
        <v>37</v>
      </c>
      <c r="J6" s="115">
        <f>DatumErsterZyklus</f>
        <v>44445</v>
      </c>
      <c r="K6" s="42" t="s">
        <v>27</v>
      </c>
      <c r="L6" s="105">
        <f>nächsterZyklus</f>
        <v>44459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25">
      <c r="A7" s="164"/>
      <c r="B7" s="112"/>
      <c r="C7" s="42" t="s">
        <v>52</v>
      </c>
      <c r="D7" s="116" t="str">
        <f>Dateipfad</f>
        <v>c:\Protokolle</v>
      </c>
      <c r="E7" s="117"/>
      <c r="F7" s="118"/>
      <c r="G7" s="117"/>
      <c r="H7" s="119"/>
      <c r="I7" s="5"/>
      <c r="J7" s="5"/>
      <c r="K7" s="120"/>
      <c r="L7" s="2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5" thickBot="1" x14ac:dyDescent="0.3">
      <c r="A8" s="164"/>
      <c r="B8" s="112"/>
      <c r="C8" s="42"/>
      <c r="D8" s="116"/>
      <c r="E8" s="117"/>
      <c r="F8" s="118"/>
      <c r="G8" s="117"/>
      <c r="H8" s="119"/>
      <c r="I8" s="5"/>
      <c r="J8" s="5"/>
      <c r="K8" s="120"/>
      <c r="L8" s="2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.5" thickBot="1" x14ac:dyDescent="0.3">
      <c r="A9" s="83"/>
      <c r="B9" s="121"/>
      <c r="C9" s="122" t="s">
        <v>17</v>
      </c>
      <c r="D9" s="47">
        <f>PDateOV_2</f>
        <v>44446</v>
      </c>
      <c r="E9" s="123" t="s">
        <v>18</v>
      </c>
      <c r="F9" s="123">
        <v>2</v>
      </c>
      <c r="G9" s="123" t="s">
        <v>29</v>
      </c>
      <c r="H9" s="123">
        <f>Zyklusnummer</f>
        <v>1</v>
      </c>
      <c r="I9" s="124" t="s">
        <v>0</v>
      </c>
      <c r="J9" s="125">
        <v>0</v>
      </c>
      <c r="K9" s="126"/>
      <c r="L9" s="12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6.25" customHeight="1" x14ac:dyDescent="0.2">
      <c r="A10" s="83"/>
      <c r="B10" s="128" t="s">
        <v>14</v>
      </c>
      <c r="C10" s="129" t="s">
        <v>11</v>
      </c>
      <c r="D10" s="130" t="s">
        <v>10</v>
      </c>
      <c r="E10" s="129" t="s">
        <v>12</v>
      </c>
      <c r="F10" s="129" t="s">
        <v>55</v>
      </c>
      <c r="G10" s="229" t="s">
        <v>13</v>
      </c>
      <c r="H10" s="229"/>
      <c r="I10" s="229" t="s">
        <v>16</v>
      </c>
      <c r="J10" s="229"/>
      <c r="K10" s="131" t="s">
        <v>15</v>
      </c>
      <c r="L10" s="132" t="s">
        <v>54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idden="1" x14ac:dyDescent="0.2">
      <c r="A11" s="83"/>
      <c r="B11" s="133" t="s">
        <v>59</v>
      </c>
      <c r="C11" s="134"/>
      <c r="D11" s="134"/>
      <c r="E11" s="134"/>
      <c r="F11" s="134"/>
      <c r="G11" s="135"/>
      <c r="H11" s="135"/>
      <c r="I11" s="135"/>
      <c r="J11" s="135"/>
      <c r="K11" s="134"/>
      <c r="L11" s="136" t="s">
        <v>60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idden="1" x14ac:dyDescent="0.2">
      <c r="A12" s="83"/>
      <c r="B12" s="137" t="s">
        <v>31</v>
      </c>
      <c r="C12" s="138" t="s">
        <v>61</v>
      </c>
      <c r="D12" s="139">
        <f>PMSID_2435_2_B_D*1*PMSID_2435_2_F_D</f>
        <v>0</v>
      </c>
      <c r="E12" s="48">
        <v>500</v>
      </c>
      <c r="F12" s="140">
        <v>0</v>
      </c>
      <c r="G12" s="230" t="s">
        <v>53</v>
      </c>
      <c r="H12" s="230"/>
      <c r="I12" s="231" t="s">
        <v>62</v>
      </c>
      <c r="J12" s="230"/>
      <c r="K12" s="30" t="s">
        <v>63</v>
      </c>
      <c r="L12" s="14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idden="1" x14ac:dyDescent="0.2">
      <c r="A13" s="83"/>
      <c r="B13" s="142"/>
      <c r="C13" s="143"/>
      <c r="D13" s="143"/>
      <c r="E13" s="143"/>
      <c r="F13" s="143"/>
      <c r="G13" s="232"/>
      <c r="H13" s="233"/>
      <c r="I13" s="232"/>
      <c r="J13" s="233"/>
      <c r="K13" s="143"/>
      <c r="L13" s="14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6"/>
      <c r="B14" s="145" t="s">
        <v>64</v>
      </c>
      <c r="C14" s="146"/>
      <c r="D14" s="146"/>
      <c r="E14" s="146"/>
      <c r="F14" s="146"/>
      <c r="G14" s="147"/>
      <c r="H14" s="147"/>
      <c r="I14" s="147"/>
      <c r="J14" s="147"/>
      <c r="K14" s="146"/>
      <c r="L14" s="148" t="s">
        <v>60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idden="1" x14ac:dyDescent="0.2">
      <c r="A15" s="6"/>
      <c r="B15" s="137" t="s">
        <v>31</v>
      </c>
      <c r="C15" s="138" t="s">
        <v>65</v>
      </c>
      <c r="D15" s="51">
        <f>PMSID_947_2_B_D*1*PMSID_947_2_F_D</f>
        <v>0</v>
      </c>
      <c r="E15" s="49">
        <v>8</v>
      </c>
      <c r="F15" s="140">
        <v>0</v>
      </c>
      <c r="G15" s="230" t="s">
        <v>66</v>
      </c>
      <c r="H15" s="230"/>
      <c r="I15" s="231" t="s">
        <v>67</v>
      </c>
      <c r="J15" s="230"/>
      <c r="K15" s="30" t="s">
        <v>68</v>
      </c>
      <c r="L15" s="14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idden="1" x14ac:dyDescent="0.2">
      <c r="A16" s="6"/>
      <c r="B16" s="142"/>
      <c r="C16" s="143"/>
      <c r="D16" s="143"/>
      <c r="E16" s="143"/>
      <c r="F16" s="143"/>
      <c r="G16" s="232"/>
      <c r="H16" s="233"/>
      <c r="I16" s="232"/>
      <c r="J16" s="233"/>
      <c r="K16" s="143"/>
      <c r="L16" s="14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idden="1" x14ac:dyDescent="0.2">
      <c r="A17" s="6"/>
      <c r="B17" s="137" t="s">
        <v>31</v>
      </c>
      <c r="C17" s="138" t="s">
        <v>69</v>
      </c>
      <c r="D17" s="51">
        <f>PMSID_948_2_B_D*1*PMSID_948_2_F_D</f>
        <v>0</v>
      </c>
      <c r="E17" s="49">
        <v>1</v>
      </c>
      <c r="F17" s="140">
        <v>0</v>
      </c>
      <c r="G17" s="230" t="s">
        <v>66</v>
      </c>
      <c r="H17" s="230"/>
      <c r="I17" s="231" t="s">
        <v>70</v>
      </c>
      <c r="J17" s="230"/>
      <c r="K17" s="30" t="s">
        <v>68</v>
      </c>
      <c r="L17" s="14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idden="1" x14ac:dyDescent="0.2">
      <c r="A18" s="6"/>
      <c r="B18" s="142"/>
      <c r="C18" s="143"/>
      <c r="D18" s="143"/>
      <c r="E18" s="143"/>
      <c r="F18" s="143"/>
      <c r="G18" s="232"/>
      <c r="H18" s="233"/>
      <c r="I18" s="232"/>
      <c r="J18" s="233"/>
      <c r="K18" s="143"/>
      <c r="L18" s="14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6"/>
      <c r="B19" s="137" t="s">
        <v>32</v>
      </c>
      <c r="C19" s="138" t="s">
        <v>65</v>
      </c>
      <c r="D19" s="51">
        <f>PMSID_11533_2_B_D*1*PMSID_11533_2_F_D</f>
        <v>8</v>
      </c>
      <c r="E19" s="49">
        <v>8</v>
      </c>
      <c r="F19" s="140">
        <v>1</v>
      </c>
      <c r="G19" s="230" t="s">
        <v>53</v>
      </c>
      <c r="H19" s="230"/>
      <c r="I19" s="231" t="s">
        <v>71</v>
      </c>
      <c r="J19" s="230"/>
      <c r="K19" s="30" t="s">
        <v>72</v>
      </c>
      <c r="L19" s="14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6"/>
      <c r="B20" s="142"/>
      <c r="C20" s="143"/>
      <c r="D20" s="143"/>
      <c r="E20" s="143"/>
      <c r="F20" s="143"/>
      <c r="G20" s="232"/>
      <c r="H20" s="233"/>
      <c r="I20" s="232"/>
      <c r="J20" s="233"/>
      <c r="K20" s="143"/>
      <c r="L20" s="14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6"/>
      <c r="B21" s="149" t="s">
        <v>73</v>
      </c>
      <c r="C21" s="150"/>
      <c r="D21" s="150"/>
      <c r="E21" s="150"/>
      <c r="F21" s="150"/>
      <c r="G21" s="151"/>
      <c r="H21" s="151"/>
      <c r="I21" s="151"/>
      <c r="J21" s="151"/>
      <c r="K21" s="150"/>
      <c r="L21" s="152" t="s">
        <v>74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idden="1" x14ac:dyDescent="0.2">
      <c r="A22" s="6"/>
      <c r="B22" s="137" t="s">
        <v>31</v>
      </c>
      <c r="C22" s="138" t="s">
        <v>75</v>
      </c>
      <c r="D22" s="153">
        <f>PMSID_6608_2_B_D*KOF_2*PMSID_6608_2_F_D</f>
        <v>0</v>
      </c>
      <c r="E22" s="50">
        <v>85</v>
      </c>
      <c r="F22" s="140">
        <v>0</v>
      </c>
      <c r="G22" s="230" t="s">
        <v>76</v>
      </c>
      <c r="H22" s="230"/>
      <c r="I22" s="231" t="s">
        <v>77</v>
      </c>
      <c r="J22" s="230"/>
      <c r="K22" s="30" t="s">
        <v>78</v>
      </c>
      <c r="L22" s="14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idden="1" x14ac:dyDescent="0.2">
      <c r="A23" s="6"/>
      <c r="B23" s="142"/>
      <c r="C23" s="143"/>
      <c r="D23" s="143"/>
      <c r="E23" s="143"/>
      <c r="F23" s="143"/>
      <c r="G23" s="232"/>
      <c r="H23" s="233"/>
      <c r="I23" s="232"/>
      <c r="J23" s="233"/>
      <c r="K23" s="143"/>
      <c r="L23" s="144"/>
      <c r="M23" s="5"/>
      <c r="N23" s="5"/>
      <c r="O23" s="5"/>
      <c r="P23" s="154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idden="1" x14ac:dyDescent="0.2">
      <c r="A24" s="6"/>
      <c r="B24" s="137" t="s">
        <v>31</v>
      </c>
      <c r="C24" s="138" t="s">
        <v>79</v>
      </c>
      <c r="D24" s="153">
        <f>PMSID_6606_2_B_D*KOF_2*PMSID_6606_2_F_D</f>
        <v>0</v>
      </c>
      <c r="E24" s="50">
        <v>400</v>
      </c>
      <c r="F24" s="140">
        <v>0</v>
      </c>
      <c r="G24" s="230" t="s">
        <v>80</v>
      </c>
      <c r="H24" s="230"/>
      <c r="I24" s="231" t="s">
        <v>77</v>
      </c>
      <c r="J24" s="230"/>
      <c r="K24" s="30" t="s">
        <v>78</v>
      </c>
      <c r="L24" s="14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idden="1" x14ac:dyDescent="0.2">
      <c r="A25" s="6"/>
      <c r="B25" s="142"/>
      <c r="C25" s="143"/>
      <c r="D25" s="143"/>
      <c r="E25" s="143"/>
      <c r="F25" s="143"/>
      <c r="G25" s="232"/>
      <c r="H25" s="233"/>
      <c r="I25" s="232"/>
      <c r="J25" s="233"/>
      <c r="K25" s="143"/>
      <c r="L25" s="14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idden="1" x14ac:dyDescent="0.2">
      <c r="A26" s="6"/>
      <c r="B26" s="137" t="s">
        <v>31</v>
      </c>
      <c r="C26" s="138" t="s">
        <v>81</v>
      </c>
      <c r="D26" s="153">
        <f>PMSID_6607_2_B_D*KOF_2*PMSID_6607_2_F_D</f>
        <v>0</v>
      </c>
      <c r="E26" s="50">
        <v>180</v>
      </c>
      <c r="F26" s="140">
        <v>0</v>
      </c>
      <c r="G26" s="230" t="s">
        <v>80</v>
      </c>
      <c r="H26" s="230"/>
      <c r="I26" s="231" t="s">
        <v>82</v>
      </c>
      <c r="J26" s="230"/>
      <c r="K26" s="30" t="s">
        <v>83</v>
      </c>
      <c r="L26" s="14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idden="1" x14ac:dyDescent="0.2">
      <c r="A27" s="6"/>
      <c r="B27" s="142"/>
      <c r="C27" s="143"/>
      <c r="D27" s="143"/>
      <c r="E27" s="143"/>
      <c r="F27" s="143"/>
      <c r="G27" s="232"/>
      <c r="H27" s="233"/>
      <c r="I27" s="232"/>
      <c r="J27" s="233"/>
      <c r="K27" s="143"/>
      <c r="L27" s="14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idden="1" x14ac:dyDescent="0.2">
      <c r="A28" s="6"/>
      <c r="B28" s="137" t="s">
        <v>31</v>
      </c>
      <c r="C28" s="138" t="s">
        <v>84</v>
      </c>
      <c r="D28" s="153">
        <f>PMSID_6609_2_B_D*KOF_2*PMSID_6609_2_F_D</f>
        <v>0</v>
      </c>
      <c r="E28" s="50">
        <v>400</v>
      </c>
      <c r="F28" s="140">
        <v>0</v>
      </c>
      <c r="G28" s="230" t="s">
        <v>53</v>
      </c>
      <c r="H28" s="230"/>
      <c r="I28" s="231" t="s">
        <v>77</v>
      </c>
      <c r="J28" s="230"/>
      <c r="K28" s="30" t="s">
        <v>85</v>
      </c>
      <c r="L28" s="14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idden="1" x14ac:dyDescent="0.2">
      <c r="A29" s="6"/>
      <c r="B29" s="142"/>
      <c r="C29" s="143"/>
      <c r="D29" s="143"/>
      <c r="E29" s="143"/>
      <c r="F29" s="143"/>
      <c r="G29" s="232"/>
      <c r="H29" s="233"/>
      <c r="I29" s="232"/>
      <c r="J29" s="233"/>
      <c r="K29" s="143"/>
      <c r="L29" s="14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idden="1" x14ac:dyDescent="0.2">
      <c r="A30" s="6"/>
      <c r="B30" s="137" t="s">
        <v>31</v>
      </c>
      <c r="C30" s="138" t="s">
        <v>84</v>
      </c>
      <c r="D30" s="153">
        <f>PMSID_6610_2_B_D*KOF_2*PMSID_6610_2_F_D</f>
        <v>0</v>
      </c>
      <c r="E30" s="50">
        <v>2400</v>
      </c>
      <c r="F30" s="140">
        <v>0</v>
      </c>
      <c r="G30" s="230" t="s">
        <v>86</v>
      </c>
      <c r="H30" s="230"/>
      <c r="I30" s="231" t="s">
        <v>77</v>
      </c>
      <c r="J30" s="230"/>
      <c r="K30" s="30" t="s">
        <v>87</v>
      </c>
      <c r="L30" s="14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6"/>
      <c r="B31" s="142" t="s">
        <v>130</v>
      </c>
      <c r="C31" s="143"/>
      <c r="D31" s="143"/>
      <c r="E31" s="143"/>
      <c r="F31" s="143"/>
      <c r="G31" s="232"/>
      <c r="H31" s="233"/>
      <c r="I31" s="232"/>
      <c r="J31" s="233"/>
      <c r="K31" s="143"/>
      <c r="L31" s="14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idden="1" x14ac:dyDescent="0.2">
      <c r="A32" s="6"/>
      <c r="B32" s="155" t="s">
        <v>88</v>
      </c>
      <c r="C32" s="156"/>
      <c r="D32" s="156"/>
      <c r="E32" s="156"/>
      <c r="F32" s="156"/>
      <c r="G32" s="157"/>
      <c r="H32" s="157"/>
      <c r="I32" s="157"/>
      <c r="J32" s="157"/>
      <c r="K32" s="156"/>
      <c r="L32" s="158" t="s">
        <v>89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idden="1" x14ac:dyDescent="0.2">
      <c r="A33" s="6"/>
      <c r="B33" s="137" t="s">
        <v>33</v>
      </c>
      <c r="C33" s="138" t="s">
        <v>90</v>
      </c>
      <c r="D33" s="51">
        <f>PMSID_2339_2_B_D*1*PMSID_2339_2_F_D</f>
        <v>0</v>
      </c>
      <c r="E33" s="49">
        <v>6</v>
      </c>
      <c r="F33" s="140">
        <v>0</v>
      </c>
      <c r="G33" s="230" t="s">
        <v>53</v>
      </c>
      <c r="H33" s="230"/>
      <c r="I33" s="231" t="s">
        <v>91</v>
      </c>
      <c r="J33" s="230"/>
      <c r="K33" s="30" t="s">
        <v>72</v>
      </c>
      <c r="L33" s="1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 x14ac:dyDescent="0.2">
      <c r="A34" s="6"/>
      <c r="B34" s="142"/>
      <c r="C34" s="143"/>
      <c r="D34" s="143"/>
      <c r="E34" s="143"/>
      <c r="F34" s="143"/>
      <c r="G34" s="232"/>
      <c r="H34" s="233"/>
      <c r="I34" s="232"/>
      <c r="J34" s="233"/>
      <c r="K34" s="143"/>
      <c r="L34" s="14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idden="1" x14ac:dyDescent="0.2">
      <c r="A35" s="6"/>
      <c r="B35" s="159" t="s">
        <v>92</v>
      </c>
      <c r="C35" s="160"/>
      <c r="D35" s="160"/>
      <c r="E35" s="160"/>
      <c r="F35" s="160"/>
      <c r="G35" s="161"/>
      <c r="H35" s="161"/>
      <c r="I35" s="161"/>
      <c r="J35" s="161"/>
      <c r="K35" s="160"/>
      <c r="L35" s="162" t="s">
        <v>93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idden="1" x14ac:dyDescent="0.2">
      <c r="A36" s="6"/>
      <c r="B36" s="137" t="s">
        <v>32</v>
      </c>
      <c r="C36" s="138"/>
      <c r="D36" s="51">
        <f>PMSID_1_2_B_D*PMSID_1_2_F_D</f>
        <v>0</v>
      </c>
      <c r="E36" s="49">
        <v>0</v>
      </c>
      <c r="F36" s="140">
        <v>0</v>
      </c>
      <c r="G36" s="230" t="s">
        <v>53</v>
      </c>
      <c r="H36" s="230"/>
      <c r="I36" s="231" t="s">
        <v>94</v>
      </c>
      <c r="J36" s="230"/>
      <c r="K36" s="30" t="s">
        <v>72</v>
      </c>
      <c r="L36" s="1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idden="1" x14ac:dyDescent="0.2">
      <c r="A37" s="6"/>
      <c r="B37" s="142"/>
      <c r="C37" s="143"/>
      <c r="D37" s="143"/>
      <c r="E37" s="143"/>
      <c r="F37" s="143"/>
      <c r="G37" s="232"/>
      <c r="H37" s="233"/>
      <c r="I37" s="232"/>
      <c r="J37" s="233"/>
      <c r="K37" s="143"/>
      <c r="L37" s="14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idden="1" x14ac:dyDescent="0.2">
      <c r="A38" s="6"/>
      <c r="B38" s="137" t="s">
        <v>32</v>
      </c>
      <c r="C38" s="138"/>
      <c r="D38" s="51">
        <f>PMSID_2_2_B_D*PMSID_2_2_F_D</f>
        <v>0</v>
      </c>
      <c r="E38" s="49">
        <v>0</v>
      </c>
      <c r="F38" s="140">
        <v>0</v>
      </c>
      <c r="G38" s="230" t="s">
        <v>53</v>
      </c>
      <c r="H38" s="230"/>
      <c r="I38" s="231" t="s">
        <v>94</v>
      </c>
      <c r="J38" s="230"/>
      <c r="K38" s="30" t="s">
        <v>72</v>
      </c>
      <c r="L38" s="1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idden="1" x14ac:dyDescent="0.2">
      <c r="A39" s="6"/>
      <c r="B39" s="142"/>
      <c r="C39" s="143"/>
      <c r="D39" s="143"/>
      <c r="E39" s="143"/>
      <c r="F39" s="143"/>
      <c r="G39" s="232"/>
      <c r="H39" s="233"/>
      <c r="I39" s="232"/>
      <c r="J39" s="233"/>
      <c r="K39" s="143"/>
      <c r="L39" s="14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idden="1" x14ac:dyDescent="0.2">
      <c r="A40" s="6"/>
      <c r="B40" s="137" t="s">
        <v>32</v>
      </c>
      <c r="C40" s="138"/>
      <c r="D40" s="51">
        <f>PMSID_3_2_B_D*PMSID_3_2_F_D</f>
        <v>0</v>
      </c>
      <c r="E40" s="49">
        <v>0</v>
      </c>
      <c r="F40" s="140">
        <v>0</v>
      </c>
      <c r="G40" s="230" t="s">
        <v>53</v>
      </c>
      <c r="H40" s="230"/>
      <c r="I40" s="231" t="s">
        <v>94</v>
      </c>
      <c r="J40" s="230"/>
      <c r="K40" s="30" t="s">
        <v>72</v>
      </c>
      <c r="L40" s="1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idden="1" x14ac:dyDescent="0.2">
      <c r="A41" s="6"/>
      <c r="B41" s="142"/>
      <c r="C41" s="143"/>
      <c r="D41" s="143"/>
      <c r="E41" s="143"/>
      <c r="F41" s="143"/>
      <c r="G41" s="232"/>
      <c r="H41" s="233"/>
      <c r="I41" s="232"/>
      <c r="J41" s="233"/>
      <c r="K41" s="143"/>
      <c r="L41" s="14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idden="1" x14ac:dyDescent="0.2">
      <c r="A42" s="6"/>
      <c r="B42" s="137" t="s">
        <v>32</v>
      </c>
      <c r="C42" s="138"/>
      <c r="D42" s="51">
        <f>PMSID_4_2_B_D*PMSID_4_2_F_D</f>
        <v>0</v>
      </c>
      <c r="E42" s="49">
        <v>0</v>
      </c>
      <c r="F42" s="140">
        <v>0</v>
      </c>
      <c r="G42" s="230" t="s">
        <v>53</v>
      </c>
      <c r="H42" s="230"/>
      <c r="I42" s="231" t="s">
        <v>94</v>
      </c>
      <c r="J42" s="230"/>
      <c r="K42" s="30" t="s">
        <v>72</v>
      </c>
      <c r="L42" s="1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idden="1" x14ac:dyDescent="0.2">
      <c r="A43" s="6"/>
      <c r="B43" s="142"/>
      <c r="C43" s="143"/>
      <c r="D43" s="143"/>
      <c r="E43" s="143"/>
      <c r="F43" s="143"/>
      <c r="G43" s="232"/>
      <c r="H43" s="233"/>
      <c r="I43" s="232"/>
      <c r="J43" s="233"/>
      <c r="K43" s="143"/>
      <c r="L43" s="14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6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6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6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6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6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6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6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6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6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6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6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6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6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6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6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6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6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6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6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6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6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6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6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6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6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6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6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6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6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6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6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6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6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6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6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6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6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6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6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6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6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6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6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6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6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6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6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6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6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6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6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6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6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6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6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6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6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6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6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6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6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6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6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6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6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6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6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6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6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6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6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6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6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6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6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6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6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6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6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6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6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6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6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6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6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6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6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6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6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HBmVjSfSMvTfR6fJOsTch3W5Rye8daI4veKgX3z+kFfnh5RJ1qoFJ071403PaC75dCS9wRBtMVPlNH/Ccm8rmQ==" saltValue="TGvJNWpGbBnhpoy7fJDMrw==" spinCount="100000" sheet="1" objects="1" scenarios="1"/>
  <dataConsolidate/>
  <mergeCells count="62">
    <mergeCell ref="G43:H43"/>
    <mergeCell ref="I43:J43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3:H33"/>
    <mergeCell ref="I33:J33"/>
    <mergeCell ref="G34:H34"/>
    <mergeCell ref="I34:J34"/>
    <mergeCell ref="G36:H36"/>
    <mergeCell ref="I36:J36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19:H19"/>
    <mergeCell ref="I19:J19"/>
    <mergeCell ref="G20:H20"/>
    <mergeCell ref="I20:J20"/>
    <mergeCell ref="G22:H22"/>
    <mergeCell ref="I22:J22"/>
    <mergeCell ref="G16:H16"/>
    <mergeCell ref="I16:J16"/>
    <mergeCell ref="G17:H17"/>
    <mergeCell ref="I17:J17"/>
    <mergeCell ref="G18:H18"/>
    <mergeCell ref="I18:J18"/>
    <mergeCell ref="G12:H12"/>
    <mergeCell ref="I12:J12"/>
    <mergeCell ref="G13:H13"/>
    <mergeCell ref="I13:J13"/>
    <mergeCell ref="G15:H15"/>
    <mergeCell ref="I15:J15"/>
    <mergeCell ref="A1:A8"/>
    <mergeCell ref="B1:J1"/>
    <mergeCell ref="B2:F2"/>
    <mergeCell ref="D3:F3"/>
    <mergeCell ref="G10:H10"/>
    <mergeCell ref="I10:J10"/>
  </mergeCells>
  <conditionalFormatting sqref="D5">
    <cfRule type="cellIs" dxfId="104" priority="35" stopIfTrue="1" operator="equal">
      <formula>0</formula>
    </cfRule>
  </conditionalFormatting>
  <conditionalFormatting sqref="L4">
    <cfRule type="cellIs" dxfId="103" priority="34" stopIfTrue="1" operator="equal">
      <formula>0</formula>
    </cfRule>
  </conditionalFormatting>
  <conditionalFormatting sqref="L5">
    <cfRule type="cellIs" dxfId="102" priority="33" stopIfTrue="1" operator="equal">
      <formula>0</formula>
    </cfRule>
  </conditionalFormatting>
  <conditionalFormatting sqref="J4">
    <cfRule type="cellIs" dxfId="101" priority="32" stopIfTrue="1" operator="equal">
      <formula>0</formula>
    </cfRule>
  </conditionalFormatting>
  <conditionalFormatting sqref="H4">
    <cfRule type="expression" dxfId="100" priority="31">
      <formula>$H$4&gt;2.4</formula>
    </cfRule>
  </conditionalFormatting>
  <conditionalFormatting sqref="D9">
    <cfRule type="expression" dxfId="99" priority="30">
      <formula>NOT(_xlfn.ISFORMULA(D9))</formula>
    </cfRule>
  </conditionalFormatting>
  <conditionalFormatting sqref="J6">
    <cfRule type="cellIs" dxfId="98" priority="29" operator="equal">
      <formula>0</formula>
    </cfRule>
  </conditionalFormatting>
  <conditionalFormatting sqref="F12">
    <cfRule type="cellIs" dxfId="97" priority="27" stopIfTrue="1" operator="notEqual">
      <formula>1</formula>
    </cfRule>
  </conditionalFormatting>
  <conditionalFormatting sqref="B12">
    <cfRule type="cellIs" dxfId="96" priority="28" stopIfTrue="1" operator="equal">
      <formula>"i.v."</formula>
    </cfRule>
  </conditionalFormatting>
  <conditionalFormatting sqref="F15">
    <cfRule type="cellIs" dxfId="95" priority="25" stopIfTrue="1" operator="notEqual">
      <formula>1</formula>
    </cfRule>
  </conditionalFormatting>
  <conditionalFormatting sqref="B15">
    <cfRule type="cellIs" dxfId="94" priority="26" stopIfTrue="1" operator="equal">
      <formula>"i.v."</formula>
    </cfRule>
  </conditionalFormatting>
  <conditionalFormatting sqref="F17">
    <cfRule type="cellIs" dxfId="93" priority="23" stopIfTrue="1" operator="notEqual">
      <formula>1</formula>
    </cfRule>
  </conditionalFormatting>
  <conditionalFormatting sqref="B17">
    <cfRule type="cellIs" dxfId="92" priority="24" stopIfTrue="1" operator="equal">
      <formula>"i.v."</formula>
    </cfRule>
  </conditionalFormatting>
  <conditionalFormatting sqref="F19">
    <cfRule type="cellIs" dxfId="91" priority="21" stopIfTrue="1" operator="notEqual">
      <formula>1</formula>
    </cfRule>
  </conditionalFormatting>
  <conditionalFormatting sqref="B19">
    <cfRule type="cellIs" dxfId="90" priority="22" stopIfTrue="1" operator="equal">
      <formula>"i.v."</formula>
    </cfRule>
  </conditionalFormatting>
  <conditionalFormatting sqref="F22">
    <cfRule type="cellIs" dxfId="89" priority="19" stopIfTrue="1" operator="notEqual">
      <formula>1</formula>
    </cfRule>
  </conditionalFormatting>
  <conditionalFormatting sqref="B22">
    <cfRule type="cellIs" dxfId="88" priority="20" stopIfTrue="1" operator="equal">
      <formula>"i.v."</formula>
    </cfRule>
  </conditionalFormatting>
  <conditionalFormatting sqref="F24">
    <cfRule type="cellIs" dxfId="87" priority="17" stopIfTrue="1" operator="notEqual">
      <formula>1</formula>
    </cfRule>
  </conditionalFormatting>
  <conditionalFormatting sqref="B24">
    <cfRule type="cellIs" dxfId="86" priority="18" stopIfTrue="1" operator="equal">
      <formula>"i.v."</formula>
    </cfRule>
  </conditionalFormatting>
  <conditionalFormatting sqref="F26">
    <cfRule type="cellIs" dxfId="85" priority="15" stopIfTrue="1" operator="notEqual">
      <formula>1</formula>
    </cfRule>
  </conditionalFormatting>
  <conditionalFormatting sqref="B26">
    <cfRule type="cellIs" dxfId="84" priority="16" stopIfTrue="1" operator="equal">
      <formula>"i.v."</formula>
    </cfRule>
  </conditionalFormatting>
  <conditionalFormatting sqref="F28">
    <cfRule type="cellIs" dxfId="83" priority="13" stopIfTrue="1" operator="notEqual">
      <formula>1</formula>
    </cfRule>
  </conditionalFormatting>
  <conditionalFormatting sqref="B28">
    <cfRule type="cellIs" dxfId="82" priority="14" stopIfTrue="1" operator="equal">
      <formula>"i.v."</formula>
    </cfRule>
  </conditionalFormatting>
  <conditionalFormatting sqref="F30">
    <cfRule type="cellIs" dxfId="81" priority="11" stopIfTrue="1" operator="notEqual">
      <formula>1</formula>
    </cfRule>
  </conditionalFormatting>
  <conditionalFormatting sqref="B30">
    <cfRule type="cellIs" dxfId="80" priority="12" stopIfTrue="1" operator="equal">
      <formula>"i.v."</formula>
    </cfRule>
  </conditionalFormatting>
  <conditionalFormatting sqref="F33">
    <cfRule type="cellIs" dxfId="79" priority="9" stopIfTrue="1" operator="notEqual">
      <formula>1</formula>
    </cfRule>
  </conditionalFormatting>
  <conditionalFormatting sqref="B33">
    <cfRule type="cellIs" dxfId="78" priority="10" stopIfTrue="1" operator="equal">
      <formula>"i.v."</formula>
    </cfRule>
  </conditionalFormatting>
  <conditionalFormatting sqref="F36">
    <cfRule type="cellIs" dxfId="77" priority="7" stopIfTrue="1" operator="notEqual">
      <formula>1</formula>
    </cfRule>
  </conditionalFormatting>
  <conditionalFormatting sqref="B36">
    <cfRule type="cellIs" dxfId="76" priority="8" stopIfTrue="1" operator="equal">
      <formula>"i.v."</formula>
    </cfRule>
  </conditionalFormatting>
  <conditionalFormatting sqref="F38">
    <cfRule type="cellIs" dxfId="75" priority="5" stopIfTrue="1" operator="notEqual">
      <formula>1</formula>
    </cfRule>
  </conditionalFormatting>
  <conditionalFormatting sqref="B38">
    <cfRule type="cellIs" dxfId="74" priority="6" stopIfTrue="1" operator="equal">
      <formula>"i.v."</formula>
    </cfRule>
  </conditionalFormatting>
  <conditionalFormatting sqref="F40">
    <cfRule type="cellIs" dxfId="73" priority="3" stopIfTrue="1" operator="notEqual">
      <formula>1</formula>
    </cfRule>
  </conditionalFormatting>
  <conditionalFormatting sqref="B40">
    <cfRule type="cellIs" dxfId="72" priority="4" stopIfTrue="1" operator="equal">
      <formula>"i.v."</formula>
    </cfRule>
  </conditionalFormatting>
  <conditionalFormatting sqref="F42">
    <cfRule type="cellIs" dxfId="71" priority="1" stopIfTrue="1" operator="notEqual">
      <formula>1</formula>
    </cfRule>
  </conditionalFormatting>
  <conditionalFormatting sqref="B42">
    <cfRule type="cellIs" dxfId="70" priority="2" stopIfTrue="1" operator="equal">
      <formula>"i.v."</formula>
    </cfRule>
  </conditionalFormatting>
  <dataValidations count="7">
    <dataValidation type="date" allowBlank="1" showInputMessage="1" showErrorMessage="1" sqref="D9 F5">
      <formula1>36526</formula1>
      <formula2>55153</formula2>
    </dataValidation>
    <dataValidation type="decimal" allowBlank="1" showInputMessage="1" showErrorMessage="1" promptTitle="Dosismodifikation" prompt="0-150%" sqref="F12 F15 F17 F19 F22 F24 F26 F28 F30 F33 F36 F38 F40 F42">
      <formula1>0</formula1>
      <formula2>15</formula2>
    </dataValidation>
    <dataValidation type="list" allowBlank="1" showInputMessage="1" showErrorMessage="1" sqref="J5">
      <formula1>"rechts,links,-"</formula1>
    </dataValidation>
    <dataValidation type="list" allowBlank="1" showInputMessage="1" showErrorMessage="1" sqref="J4">
      <formula1>"-,rechts,links"</formula1>
    </dataValidation>
    <dataValidation type="decimal" allowBlank="1" showInputMessage="1" showErrorMessage="1" errorTitle="Grenzwerte" error="Nur Werte zwischen 40 und 250 erlaubt!" sqref="F4">
      <formula1>40</formula1>
      <formula2>250</formula2>
    </dataValidation>
    <dataValidation type="decimal" allowBlank="1" showInputMessage="1" showErrorMessage="1" errorTitle="Grenzwerte" error="Nur Werte zwischen 120 und 220 erlaubt!" sqref="D4">
      <formula1>120</formula1>
      <formula2>230</formula2>
    </dataValidation>
    <dataValidation type="decimal" allowBlank="1" showInputMessage="1" showErrorMessage="1" errorTitle="Grenzwerte" error="Nur Werte zwischen 0,3 und 5 erlaubt!" sqref="D5">
      <formula1>0.3</formula1>
      <formula2>5</formula2>
    </dataValidation>
  </dataValidations>
  <pageMargins left="0" right="0" top="0.78740157480314965" bottom="0.78740157480314965" header="0" footer="0"/>
  <pageSetup paperSize="9" scale="93" fitToHeight="0" orientation="landscape" r:id="rId1"/>
  <headerFooter>
    <oddHeader>&amp;C&amp;G&amp;LOnk. Amb. privat_x000D_Telefon: 1234_x000D_Fax: 5678&amp;RPraxis_x000D_Prof. Dr. Hans Mustermann_x000D_Onkologische Ambulanz</oddHeader>
    <oddFooter>&amp;LAnordnung (Vorname, Name, Datum)&amp;CDie Herausgeber und Autoren übernehmen keine Haftung für die Richtigkeit der Inhalte._x000D_Eine Plausibilitätsprüfung des Therapieplans durch den Arzt ist erforderlich.&amp;ROnkopti® (PID=47 V1.2)_x000D_01.09.2021 15:36:24_x000D_&amp;P/&amp;N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Z1000"/>
  <sheetViews>
    <sheetView showGridLines="0" zoomScale="115" zoomScaleNormal="115" workbookViewId="0">
      <selection activeCell="B42" sqref="B42:L43"/>
    </sheetView>
  </sheetViews>
  <sheetFormatPr defaultColWidth="11.42578125" defaultRowHeight="12.75" x14ac:dyDescent="0.2"/>
  <cols>
    <col min="1" max="1" width="3.7109375" style="1" customWidth="1"/>
    <col min="2" max="2" width="6.28515625" style="37" customWidth="1"/>
    <col min="3" max="3" width="22.42578125" style="37" customWidth="1"/>
    <col min="4" max="4" width="16.5703125" style="37" customWidth="1"/>
    <col min="5" max="5" width="14.140625" style="37" customWidth="1"/>
    <col min="6" max="6" width="13.42578125" style="37" customWidth="1"/>
    <col min="7" max="7" width="16.140625" style="37" customWidth="1"/>
    <col min="8" max="8" width="11.5703125" style="37" customWidth="1"/>
    <col min="9" max="9" width="15.42578125" style="37" customWidth="1"/>
    <col min="10" max="10" width="13.140625" style="37" customWidth="1"/>
    <col min="11" max="11" width="16.140625" style="37" customWidth="1"/>
    <col min="12" max="12" width="10.85546875" style="37" customWidth="1"/>
    <col min="13" max="16384" width="11.42578125" style="37"/>
  </cols>
  <sheetData>
    <row r="1" spans="1:26" ht="12.75" customHeight="1" x14ac:dyDescent="0.2">
      <c r="A1" s="164" t="s">
        <v>57</v>
      </c>
      <c r="B1" s="196" t="str">
        <f>Protokollname</f>
        <v>FOLFIRINOX - Oxaliplatin 85 / Folinsäure 400 / Irinotecan 180 / Fluorouracil 2400, metastasiertes Pankreaskarzinom (PID=47 V1.2)</v>
      </c>
      <c r="C1" s="196"/>
      <c r="D1" s="196"/>
      <c r="E1" s="196"/>
      <c r="F1" s="196"/>
      <c r="G1" s="196"/>
      <c r="H1" s="196"/>
      <c r="I1" s="196"/>
      <c r="J1" s="196"/>
      <c r="K1" s="40"/>
      <c r="L1" s="44" t="str">
        <f>"Z" &amp; Zyklusnummer &amp; "/d" &amp; F9</f>
        <v>Z1/d3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x14ac:dyDescent="0.25">
      <c r="A2" s="164"/>
      <c r="B2" s="223" t="str">
        <f>IF(PatientName="","",PatientName)</f>
        <v>Doe, John</v>
      </c>
      <c r="C2" s="224"/>
      <c r="D2" s="224"/>
      <c r="E2" s="224"/>
      <c r="F2" s="225"/>
      <c r="G2" s="42" t="s">
        <v>24</v>
      </c>
      <c r="H2" s="101">
        <f>PatientGeboren</f>
        <v>21916</v>
      </c>
      <c r="I2" s="43" t="s">
        <v>49</v>
      </c>
      <c r="J2" s="41" t="str">
        <f ca="1">DATEDIF(PatientGeboren,NOW(),"y")&amp;"J "&amp;MOD(DATEDIF(PatientGeboren,NOW(),"m"),12)&amp;"M"</f>
        <v>61J 8M</v>
      </c>
      <c r="K2" s="42" t="s">
        <v>5</v>
      </c>
      <c r="L2" s="102" t="str">
        <f>PatientGeschlecht</f>
        <v>m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64"/>
      <c r="B3" s="103"/>
      <c r="C3" s="42" t="s">
        <v>6</v>
      </c>
      <c r="D3" s="226" t="str">
        <f>IF(Diagnose="","-",Diagnose)</f>
        <v>Pankreaskarzinom</v>
      </c>
      <c r="E3" s="227"/>
      <c r="F3" s="228"/>
      <c r="G3" s="42" t="s">
        <v>7</v>
      </c>
      <c r="H3" s="46" t="str">
        <f>IF(Stadium="","",Stadium)</f>
        <v>IV</v>
      </c>
      <c r="I3" s="43" t="s">
        <v>44</v>
      </c>
      <c r="J3" s="104" t="str">
        <f>IF(Therapiemodus&lt;&gt;"",Therapiemodus,"")</f>
        <v>Erstlinie</v>
      </c>
      <c r="K3" s="42" t="s">
        <v>42</v>
      </c>
      <c r="L3" s="105">
        <f>IF(ErstdiagnoseDatum,ErstdiagnoseDatum,"")</f>
        <v>44356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64"/>
      <c r="B4" s="103"/>
      <c r="C4" s="42" t="s">
        <v>35</v>
      </c>
      <c r="D4" s="12">
        <f>GroesseCM_2</f>
        <v>170</v>
      </c>
      <c r="E4" s="42" t="s">
        <v>38</v>
      </c>
      <c r="F4" s="106">
        <f>KG_2</f>
        <v>75</v>
      </c>
      <c r="G4" s="42" t="s">
        <v>39</v>
      </c>
      <c r="H4" s="107">
        <f>KG_3^0.425*GroesseCM_3^0.725/139.315</f>
        <v>1.8619954939793939</v>
      </c>
      <c r="I4" s="42" t="s">
        <v>40</v>
      </c>
      <c r="J4" s="75" t="str">
        <f>PatientInfusionsarm</f>
        <v>rechts</v>
      </c>
      <c r="K4" s="42" t="s">
        <v>8</v>
      </c>
      <c r="L4" s="108">
        <f>IF(PatientID="","",PatientID)</f>
        <v>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4"/>
      <c r="B5" s="109"/>
      <c r="C5" s="42" t="s">
        <v>36</v>
      </c>
      <c r="D5" s="110">
        <f>SerumKreatinin_2</f>
        <v>0.8</v>
      </c>
      <c r="E5" s="43" t="s">
        <v>43</v>
      </c>
      <c r="F5" s="82">
        <f>SerumKreatininDatum_2</f>
        <v>44445</v>
      </c>
      <c r="G5" s="44" t="str">
        <f>"GFR " &amp; shortGFR(sGFR)</f>
        <v>GFR NM</v>
      </c>
      <c r="H5" s="111">
        <f ca="1">fGFR(F4,D4,PatientAlter,PatientGeschlecht,D5)</f>
        <v>98.988629165216764</v>
      </c>
      <c r="I5" s="42" t="s">
        <v>41</v>
      </c>
      <c r="J5" s="75" t="str">
        <f>PatientPort</f>
        <v>rechts</v>
      </c>
      <c r="K5" s="42" t="s">
        <v>9</v>
      </c>
      <c r="L5" s="108">
        <f>IF(Auftragsnummer="","",Auftragsnummer)</f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x14ac:dyDescent="0.25">
      <c r="A6" s="164"/>
      <c r="B6" s="112"/>
      <c r="C6" s="23" t="s">
        <v>58</v>
      </c>
      <c r="D6" s="105">
        <f>Therapiebeginn</f>
        <v>44445</v>
      </c>
      <c r="E6" s="44" t="s">
        <v>28</v>
      </c>
      <c r="F6" s="113">
        <f>EmpfZyklen</f>
        <v>12</v>
      </c>
      <c r="G6" s="42" t="s">
        <v>26</v>
      </c>
      <c r="H6" s="114">
        <f>IntervallTage</f>
        <v>14</v>
      </c>
      <c r="I6" s="42" t="s">
        <v>37</v>
      </c>
      <c r="J6" s="115">
        <f>DatumErsterZyklus</f>
        <v>44445</v>
      </c>
      <c r="K6" s="42" t="s">
        <v>27</v>
      </c>
      <c r="L6" s="105">
        <f>nächsterZyklus</f>
        <v>44459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25">
      <c r="A7" s="164"/>
      <c r="B7" s="112"/>
      <c r="C7" s="42" t="s">
        <v>52</v>
      </c>
      <c r="D7" s="116" t="str">
        <f>Dateipfad</f>
        <v>c:\Protokolle</v>
      </c>
      <c r="E7" s="117"/>
      <c r="F7" s="118"/>
      <c r="G7" s="117"/>
      <c r="H7" s="119"/>
      <c r="I7" s="5"/>
      <c r="J7" s="5"/>
      <c r="K7" s="120"/>
      <c r="L7" s="2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5" thickBot="1" x14ac:dyDescent="0.3">
      <c r="A8" s="164"/>
      <c r="B8" s="112"/>
      <c r="C8" s="42"/>
      <c r="D8" s="116"/>
      <c r="E8" s="117"/>
      <c r="F8" s="118"/>
      <c r="G8" s="117"/>
      <c r="H8" s="119"/>
      <c r="I8" s="5"/>
      <c r="J8" s="5"/>
      <c r="K8" s="120"/>
      <c r="L8" s="2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.5" thickBot="1" x14ac:dyDescent="0.3">
      <c r="A9" s="83"/>
      <c r="B9" s="121"/>
      <c r="C9" s="122" t="s">
        <v>17</v>
      </c>
      <c r="D9" s="47">
        <f>PDateOV_3</f>
        <v>44447</v>
      </c>
      <c r="E9" s="123" t="s">
        <v>18</v>
      </c>
      <c r="F9" s="123">
        <v>3</v>
      </c>
      <c r="G9" s="123" t="s">
        <v>29</v>
      </c>
      <c r="H9" s="123">
        <f>Zyklusnummer</f>
        <v>1</v>
      </c>
      <c r="I9" s="124" t="s">
        <v>0</v>
      </c>
      <c r="J9" s="125">
        <v>0</v>
      </c>
      <c r="K9" s="126"/>
      <c r="L9" s="12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6.25" customHeight="1" x14ac:dyDescent="0.2">
      <c r="A10" s="83"/>
      <c r="B10" s="128" t="s">
        <v>14</v>
      </c>
      <c r="C10" s="129" t="s">
        <v>11</v>
      </c>
      <c r="D10" s="130" t="s">
        <v>10</v>
      </c>
      <c r="E10" s="129" t="s">
        <v>12</v>
      </c>
      <c r="F10" s="129" t="s">
        <v>55</v>
      </c>
      <c r="G10" s="229" t="s">
        <v>13</v>
      </c>
      <c r="H10" s="229"/>
      <c r="I10" s="229" t="s">
        <v>16</v>
      </c>
      <c r="J10" s="229"/>
      <c r="K10" s="131" t="s">
        <v>15</v>
      </c>
      <c r="L10" s="132" t="s">
        <v>54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idden="1" x14ac:dyDescent="0.2">
      <c r="A11" s="83"/>
      <c r="B11" s="133" t="s">
        <v>59</v>
      </c>
      <c r="C11" s="134"/>
      <c r="D11" s="134"/>
      <c r="E11" s="134"/>
      <c r="F11" s="134"/>
      <c r="G11" s="135"/>
      <c r="H11" s="135"/>
      <c r="I11" s="135"/>
      <c r="J11" s="135"/>
      <c r="K11" s="134"/>
      <c r="L11" s="136" t="s">
        <v>60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idden="1" x14ac:dyDescent="0.2">
      <c r="A12" s="83"/>
      <c r="B12" s="137" t="s">
        <v>31</v>
      </c>
      <c r="C12" s="138" t="s">
        <v>61</v>
      </c>
      <c r="D12" s="139">
        <f>PMSID_2435_3_B_D*1*PMSID_2435_3_F_D</f>
        <v>0</v>
      </c>
      <c r="E12" s="48">
        <v>500</v>
      </c>
      <c r="F12" s="140">
        <v>0</v>
      </c>
      <c r="G12" s="230" t="s">
        <v>53</v>
      </c>
      <c r="H12" s="230"/>
      <c r="I12" s="231" t="s">
        <v>62</v>
      </c>
      <c r="J12" s="230"/>
      <c r="K12" s="30" t="s">
        <v>63</v>
      </c>
      <c r="L12" s="14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idden="1" x14ac:dyDescent="0.2">
      <c r="A13" s="83"/>
      <c r="B13" s="142"/>
      <c r="C13" s="143"/>
      <c r="D13" s="143"/>
      <c r="E13" s="143"/>
      <c r="F13" s="143"/>
      <c r="G13" s="232"/>
      <c r="H13" s="233"/>
      <c r="I13" s="232"/>
      <c r="J13" s="233"/>
      <c r="K13" s="143"/>
      <c r="L13" s="14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6"/>
      <c r="B14" s="145" t="s">
        <v>64</v>
      </c>
      <c r="C14" s="146"/>
      <c r="D14" s="146"/>
      <c r="E14" s="146"/>
      <c r="F14" s="146"/>
      <c r="G14" s="147"/>
      <c r="H14" s="147"/>
      <c r="I14" s="147"/>
      <c r="J14" s="147"/>
      <c r="K14" s="146"/>
      <c r="L14" s="148" t="s">
        <v>60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idden="1" x14ac:dyDescent="0.2">
      <c r="A15" s="6"/>
      <c r="B15" s="137" t="s">
        <v>31</v>
      </c>
      <c r="C15" s="138" t="s">
        <v>65</v>
      </c>
      <c r="D15" s="51">
        <f>PMSID_947_3_B_D*1*PMSID_947_3_F_D</f>
        <v>0</v>
      </c>
      <c r="E15" s="49">
        <v>8</v>
      </c>
      <c r="F15" s="140">
        <v>0</v>
      </c>
      <c r="G15" s="230" t="s">
        <v>66</v>
      </c>
      <c r="H15" s="230"/>
      <c r="I15" s="231" t="s">
        <v>67</v>
      </c>
      <c r="J15" s="230"/>
      <c r="K15" s="30" t="s">
        <v>68</v>
      </c>
      <c r="L15" s="14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idden="1" x14ac:dyDescent="0.2">
      <c r="A16" s="6"/>
      <c r="B16" s="142"/>
      <c r="C16" s="143"/>
      <c r="D16" s="143"/>
      <c r="E16" s="143"/>
      <c r="F16" s="143"/>
      <c r="G16" s="232"/>
      <c r="H16" s="233"/>
      <c r="I16" s="232"/>
      <c r="J16" s="233"/>
      <c r="K16" s="143"/>
      <c r="L16" s="14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idden="1" x14ac:dyDescent="0.2">
      <c r="A17" s="6"/>
      <c r="B17" s="137" t="s">
        <v>31</v>
      </c>
      <c r="C17" s="138" t="s">
        <v>69</v>
      </c>
      <c r="D17" s="51">
        <f>PMSID_948_3_B_D*1*PMSID_948_3_F_D</f>
        <v>0</v>
      </c>
      <c r="E17" s="49">
        <v>1</v>
      </c>
      <c r="F17" s="140">
        <v>0</v>
      </c>
      <c r="G17" s="230" t="s">
        <v>66</v>
      </c>
      <c r="H17" s="230"/>
      <c r="I17" s="231" t="s">
        <v>70</v>
      </c>
      <c r="J17" s="230"/>
      <c r="K17" s="30" t="s">
        <v>68</v>
      </c>
      <c r="L17" s="14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idden="1" x14ac:dyDescent="0.2">
      <c r="A18" s="6"/>
      <c r="B18" s="142"/>
      <c r="C18" s="143"/>
      <c r="D18" s="143"/>
      <c r="E18" s="143"/>
      <c r="F18" s="143"/>
      <c r="G18" s="232"/>
      <c r="H18" s="233"/>
      <c r="I18" s="232"/>
      <c r="J18" s="233"/>
      <c r="K18" s="143"/>
      <c r="L18" s="14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6"/>
      <c r="B19" s="137" t="s">
        <v>32</v>
      </c>
      <c r="C19" s="138" t="s">
        <v>65</v>
      </c>
      <c r="D19" s="51">
        <f>PMSID_11533_3_B_D*1*PMSID_11533_3_F_D</f>
        <v>8</v>
      </c>
      <c r="E19" s="49">
        <v>8</v>
      </c>
      <c r="F19" s="140">
        <v>1</v>
      </c>
      <c r="G19" s="230" t="s">
        <v>53</v>
      </c>
      <c r="H19" s="230"/>
      <c r="I19" s="231" t="s">
        <v>71</v>
      </c>
      <c r="J19" s="230"/>
      <c r="K19" s="30" t="s">
        <v>72</v>
      </c>
      <c r="L19" s="14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6"/>
      <c r="B20" s="142"/>
      <c r="C20" s="143"/>
      <c r="D20" s="143"/>
      <c r="E20" s="143"/>
      <c r="F20" s="143"/>
      <c r="G20" s="232"/>
      <c r="H20" s="233"/>
      <c r="I20" s="232"/>
      <c r="J20" s="233"/>
      <c r="K20" s="143"/>
      <c r="L20" s="14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6"/>
      <c r="B21" s="149" t="s">
        <v>73</v>
      </c>
      <c r="C21" s="150"/>
      <c r="D21" s="150"/>
      <c r="E21" s="150"/>
      <c r="F21" s="150"/>
      <c r="G21" s="151"/>
      <c r="H21" s="151"/>
      <c r="I21" s="151"/>
      <c r="J21" s="151"/>
      <c r="K21" s="150"/>
      <c r="L21" s="152" t="s">
        <v>74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idden="1" x14ac:dyDescent="0.2">
      <c r="A22" s="6"/>
      <c r="B22" s="137" t="s">
        <v>31</v>
      </c>
      <c r="C22" s="138" t="s">
        <v>75</v>
      </c>
      <c r="D22" s="153">
        <f>PMSID_6608_3_B_D*KOF_3*PMSID_6608_3_F_D</f>
        <v>0</v>
      </c>
      <c r="E22" s="50">
        <v>85</v>
      </c>
      <c r="F22" s="140">
        <v>0</v>
      </c>
      <c r="G22" s="230" t="s">
        <v>76</v>
      </c>
      <c r="H22" s="230"/>
      <c r="I22" s="231" t="s">
        <v>77</v>
      </c>
      <c r="J22" s="230"/>
      <c r="K22" s="30" t="s">
        <v>78</v>
      </c>
      <c r="L22" s="14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idden="1" x14ac:dyDescent="0.2">
      <c r="A23" s="6"/>
      <c r="B23" s="142"/>
      <c r="C23" s="143"/>
      <c r="D23" s="143"/>
      <c r="E23" s="143"/>
      <c r="F23" s="143"/>
      <c r="G23" s="232"/>
      <c r="H23" s="233"/>
      <c r="I23" s="232"/>
      <c r="J23" s="233"/>
      <c r="K23" s="143"/>
      <c r="L23" s="144"/>
      <c r="M23" s="5"/>
      <c r="N23" s="5"/>
      <c r="O23" s="5"/>
      <c r="P23" s="154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idden="1" x14ac:dyDescent="0.2">
      <c r="A24" s="6"/>
      <c r="B24" s="137" t="s">
        <v>31</v>
      </c>
      <c r="C24" s="138" t="s">
        <v>79</v>
      </c>
      <c r="D24" s="153">
        <f>PMSID_6606_3_B_D*KOF_3*PMSID_6606_3_F_D</f>
        <v>0</v>
      </c>
      <c r="E24" s="50">
        <v>400</v>
      </c>
      <c r="F24" s="140">
        <v>0</v>
      </c>
      <c r="G24" s="230" t="s">
        <v>80</v>
      </c>
      <c r="H24" s="230"/>
      <c r="I24" s="231" t="s">
        <v>77</v>
      </c>
      <c r="J24" s="230"/>
      <c r="K24" s="30" t="s">
        <v>78</v>
      </c>
      <c r="L24" s="14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idden="1" x14ac:dyDescent="0.2">
      <c r="A25" s="6"/>
      <c r="B25" s="142"/>
      <c r="C25" s="143"/>
      <c r="D25" s="143"/>
      <c r="E25" s="143"/>
      <c r="F25" s="143"/>
      <c r="G25" s="232"/>
      <c r="H25" s="233"/>
      <c r="I25" s="232"/>
      <c r="J25" s="233"/>
      <c r="K25" s="143"/>
      <c r="L25" s="14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idden="1" x14ac:dyDescent="0.2">
      <c r="A26" s="6"/>
      <c r="B26" s="137" t="s">
        <v>31</v>
      </c>
      <c r="C26" s="138" t="s">
        <v>81</v>
      </c>
      <c r="D26" s="153">
        <f>PMSID_6607_3_B_D*KOF_3*PMSID_6607_3_F_D</f>
        <v>0</v>
      </c>
      <c r="E26" s="50">
        <v>180</v>
      </c>
      <c r="F26" s="140">
        <v>0</v>
      </c>
      <c r="G26" s="230" t="s">
        <v>80</v>
      </c>
      <c r="H26" s="230"/>
      <c r="I26" s="231" t="s">
        <v>82</v>
      </c>
      <c r="J26" s="230"/>
      <c r="K26" s="30" t="s">
        <v>83</v>
      </c>
      <c r="L26" s="14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idden="1" x14ac:dyDescent="0.2">
      <c r="A27" s="6"/>
      <c r="B27" s="142"/>
      <c r="C27" s="143"/>
      <c r="D27" s="143"/>
      <c r="E27" s="143"/>
      <c r="F27" s="143"/>
      <c r="G27" s="232"/>
      <c r="H27" s="233"/>
      <c r="I27" s="232"/>
      <c r="J27" s="233"/>
      <c r="K27" s="143"/>
      <c r="L27" s="14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idden="1" x14ac:dyDescent="0.2">
      <c r="A28" s="6"/>
      <c r="B28" s="137" t="s">
        <v>31</v>
      </c>
      <c r="C28" s="138" t="s">
        <v>84</v>
      </c>
      <c r="D28" s="153">
        <f>PMSID_6609_3_B_D*KOF_3*PMSID_6609_3_F_D</f>
        <v>0</v>
      </c>
      <c r="E28" s="50">
        <v>400</v>
      </c>
      <c r="F28" s="140">
        <v>0</v>
      </c>
      <c r="G28" s="230" t="s">
        <v>53</v>
      </c>
      <c r="H28" s="230"/>
      <c r="I28" s="231" t="s">
        <v>77</v>
      </c>
      <c r="J28" s="230"/>
      <c r="K28" s="30" t="s">
        <v>85</v>
      </c>
      <c r="L28" s="14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idden="1" x14ac:dyDescent="0.2">
      <c r="A29" s="6"/>
      <c r="B29" s="142"/>
      <c r="C29" s="143"/>
      <c r="D29" s="143"/>
      <c r="E29" s="143"/>
      <c r="F29" s="143"/>
      <c r="G29" s="232"/>
      <c r="H29" s="233"/>
      <c r="I29" s="232"/>
      <c r="J29" s="233"/>
      <c r="K29" s="143"/>
      <c r="L29" s="14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idden="1" x14ac:dyDescent="0.2">
      <c r="A30" s="6"/>
      <c r="B30" s="137" t="s">
        <v>31</v>
      </c>
      <c r="C30" s="138" t="s">
        <v>84</v>
      </c>
      <c r="D30" s="153">
        <f>PMSID_6610_3_B_D*KOF_3*PMSID_6610_3_F_D</f>
        <v>0</v>
      </c>
      <c r="E30" s="50">
        <v>2400</v>
      </c>
      <c r="F30" s="140">
        <v>0</v>
      </c>
      <c r="G30" s="230" t="s">
        <v>86</v>
      </c>
      <c r="H30" s="230"/>
      <c r="I30" s="231" t="s">
        <v>77</v>
      </c>
      <c r="J30" s="230"/>
      <c r="K30" s="30" t="s">
        <v>87</v>
      </c>
      <c r="L30" s="14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6"/>
      <c r="B31" s="142" t="s">
        <v>130</v>
      </c>
      <c r="C31" s="143"/>
      <c r="D31" s="143"/>
      <c r="E31" s="143"/>
      <c r="F31" s="143"/>
      <c r="G31" s="232"/>
      <c r="H31" s="233"/>
      <c r="I31" s="232"/>
      <c r="J31" s="233"/>
      <c r="K31" s="143"/>
      <c r="L31" s="14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idden="1" x14ac:dyDescent="0.2">
      <c r="A32" s="6"/>
      <c r="B32" s="155" t="s">
        <v>88</v>
      </c>
      <c r="C32" s="156"/>
      <c r="D32" s="156"/>
      <c r="E32" s="156"/>
      <c r="F32" s="156"/>
      <c r="G32" s="157"/>
      <c r="H32" s="157"/>
      <c r="I32" s="157"/>
      <c r="J32" s="157"/>
      <c r="K32" s="156"/>
      <c r="L32" s="158" t="s">
        <v>89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idden="1" x14ac:dyDescent="0.2">
      <c r="A33" s="6"/>
      <c r="B33" s="137" t="s">
        <v>33</v>
      </c>
      <c r="C33" s="138" t="s">
        <v>90</v>
      </c>
      <c r="D33" s="51">
        <f>PMSID_2339_3_B_D*1*PMSID_2339_3_F_D</f>
        <v>0</v>
      </c>
      <c r="E33" s="49">
        <v>6</v>
      </c>
      <c r="F33" s="140">
        <v>0</v>
      </c>
      <c r="G33" s="230" t="s">
        <v>53</v>
      </c>
      <c r="H33" s="230"/>
      <c r="I33" s="231" t="s">
        <v>91</v>
      </c>
      <c r="J33" s="230"/>
      <c r="K33" s="30" t="s">
        <v>72</v>
      </c>
      <c r="L33" s="1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idden="1" x14ac:dyDescent="0.2">
      <c r="A34" s="6"/>
      <c r="B34" s="142"/>
      <c r="C34" s="143"/>
      <c r="D34" s="143"/>
      <c r="E34" s="143"/>
      <c r="F34" s="143"/>
      <c r="G34" s="232"/>
      <c r="H34" s="233"/>
      <c r="I34" s="232"/>
      <c r="J34" s="233"/>
      <c r="K34" s="143"/>
      <c r="L34" s="14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idden="1" x14ac:dyDescent="0.2">
      <c r="A35" s="6"/>
      <c r="B35" s="159" t="s">
        <v>92</v>
      </c>
      <c r="C35" s="160"/>
      <c r="D35" s="160"/>
      <c r="E35" s="160"/>
      <c r="F35" s="160"/>
      <c r="G35" s="161"/>
      <c r="H35" s="161"/>
      <c r="I35" s="161"/>
      <c r="J35" s="161"/>
      <c r="K35" s="160"/>
      <c r="L35" s="162" t="s">
        <v>93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idden="1" x14ac:dyDescent="0.2">
      <c r="A36" s="6"/>
      <c r="B36" s="137" t="s">
        <v>32</v>
      </c>
      <c r="C36" s="138"/>
      <c r="D36" s="51">
        <f>PMSID_1_3_B_D*PMSID_1_3_F_D</f>
        <v>0</v>
      </c>
      <c r="E36" s="49">
        <v>0</v>
      </c>
      <c r="F36" s="140">
        <v>0</v>
      </c>
      <c r="G36" s="230" t="s">
        <v>53</v>
      </c>
      <c r="H36" s="230"/>
      <c r="I36" s="231" t="s">
        <v>94</v>
      </c>
      <c r="J36" s="230"/>
      <c r="K36" s="30" t="s">
        <v>72</v>
      </c>
      <c r="L36" s="1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idden="1" x14ac:dyDescent="0.2">
      <c r="A37" s="6"/>
      <c r="B37" s="142"/>
      <c r="C37" s="143"/>
      <c r="D37" s="143"/>
      <c r="E37" s="143"/>
      <c r="F37" s="143"/>
      <c r="G37" s="232"/>
      <c r="H37" s="233"/>
      <c r="I37" s="232"/>
      <c r="J37" s="233"/>
      <c r="K37" s="143"/>
      <c r="L37" s="14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idden="1" x14ac:dyDescent="0.2">
      <c r="A38" s="6"/>
      <c r="B38" s="137" t="s">
        <v>32</v>
      </c>
      <c r="C38" s="138"/>
      <c r="D38" s="51">
        <f>PMSID_2_3_B_D*PMSID_2_3_F_D</f>
        <v>0</v>
      </c>
      <c r="E38" s="49">
        <v>0</v>
      </c>
      <c r="F38" s="140">
        <v>0</v>
      </c>
      <c r="G38" s="230" t="s">
        <v>53</v>
      </c>
      <c r="H38" s="230"/>
      <c r="I38" s="231" t="s">
        <v>94</v>
      </c>
      <c r="J38" s="230"/>
      <c r="K38" s="30" t="s">
        <v>72</v>
      </c>
      <c r="L38" s="1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idden="1" x14ac:dyDescent="0.2">
      <c r="A39" s="6"/>
      <c r="B39" s="142"/>
      <c r="C39" s="143"/>
      <c r="D39" s="143"/>
      <c r="E39" s="143"/>
      <c r="F39" s="143"/>
      <c r="G39" s="232"/>
      <c r="H39" s="233"/>
      <c r="I39" s="232"/>
      <c r="J39" s="233"/>
      <c r="K39" s="143"/>
      <c r="L39" s="14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idden="1" x14ac:dyDescent="0.2">
      <c r="A40" s="6"/>
      <c r="B40" s="137" t="s">
        <v>32</v>
      </c>
      <c r="C40" s="138"/>
      <c r="D40" s="51">
        <f>PMSID_3_3_B_D*PMSID_3_3_F_D</f>
        <v>0</v>
      </c>
      <c r="E40" s="49">
        <v>0</v>
      </c>
      <c r="F40" s="140">
        <v>0</v>
      </c>
      <c r="G40" s="230" t="s">
        <v>53</v>
      </c>
      <c r="H40" s="230"/>
      <c r="I40" s="231" t="s">
        <v>94</v>
      </c>
      <c r="J40" s="230"/>
      <c r="K40" s="30" t="s">
        <v>72</v>
      </c>
      <c r="L40" s="1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idden="1" x14ac:dyDescent="0.2">
      <c r="A41" s="6"/>
      <c r="B41" s="142"/>
      <c r="C41" s="143"/>
      <c r="D41" s="143"/>
      <c r="E41" s="143"/>
      <c r="F41" s="143"/>
      <c r="G41" s="232"/>
      <c r="H41" s="233"/>
      <c r="I41" s="232"/>
      <c r="J41" s="233"/>
      <c r="K41" s="143"/>
      <c r="L41" s="14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idden="1" x14ac:dyDescent="0.2">
      <c r="A42" s="6"/>
      <c r="B42" s="137" t="s">
        <v>32</v>
      </c>
      <c r="C42" s="138"/>
      <c r="D42" s="51">
        <f>PMSID_4_3_B_D*PMSID_4_3_F_D</f>
        <v>0</v>
      </c>
      <c r="E42" s="49">
        <v>0</v>
      </c>
      <c r="F42" s="140">
        <v>0</v>
      </c>
      <c r="G42" s="230" t="s">
        <v>53</v>
      </c>
      <c r="H42" s="230"/>
      <c r="I42" s="231" t="s">
        <v>94</v>
      </c>
      <c r="J42" s="230"/>
      <c r="K42" s="30" t="s">
        <v>72</v>
      </c>
      <c r="L42" s="1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idden="1" x14ac:dyDescent="0.2">
      <c r="A43" s="6"/>
      <c r="B43" s="142"/>
      <c r="C43" s="143"/>
      <c r="D43" s="143"/>
      <c r="E43" s="143"/>
      <c r="F43" s="143"/>
      <c r="G43" s="232"/>
      <c r="H43" s="233"/>
      <c r="I43" s="232"/>
      <c r="J43" s="233"/>
      <c r="K43" s="143"/>
      <c r="L43" s="14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6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6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6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6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6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6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6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6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6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6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6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6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6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6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6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6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6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6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6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6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6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6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6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6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6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6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6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6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6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6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6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6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6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6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6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6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6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6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6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6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6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6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6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6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6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6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6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6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6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6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6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6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6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6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6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6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6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6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6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6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6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6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6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6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6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6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6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6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6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6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6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6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6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6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6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6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6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6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6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6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6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6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6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6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6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6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6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6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6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01BlryKd1GN71TVU8N5ZQGhS16GF3sGgqToWDYh33qWagsy4FGR3DccjXbvkJz3NSuuamsMTex4S4HeDGU9new==" saltValue="eAdWyMZF3UxL9raLbi82qA==" spinCount="100000" sheet="1" objects="1" scenarios="1"/>
  <dataConsolidate/>
  <mergeCells count="62">
    <mergeCell ref="G43:H43"/>
    <mergeCell ref="I43:J43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3:H33"/>
    <mergeCell ref="I33:J33"/>
    <mergeCell ref="G34:H34"/>
    <mergeCell ref="I34:J34"/>
    <mergeCell ref="G36:H36"/>
    <mergeCell ref="I36:J36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19:H19"/>
    <mergeCell ref="I19:J19"/>
    <mergeCell ref="G20:H20"/>
    <mergeCell ref="I20:J20"/>
    <mergeCell ref="G22:H22"/>
    <mergeCell ref="I22:J22"/>
    <mergeCell ref="G16:H16"/>
    <mergeCell ref="I16:J16"/>
    <mergeCell ref="G17:H17"/>
    <mergeCell ref="I17:J17"/>
    <mergeCell ref="G18:H18"/>
    <mergeCell ref="I18:J18"/>
    <mergeCell ref="G12:H12"/>
    <mergeCell ref="I12:J12"/>
    <mergeCell ref="G13:H13"/>
    <mergeCell ref="I13:J13"/>
    <mergeCell ref="G15:H15"/>
    <mergeCell ref="I15:J15"/>
    <mergeCell ref="A1:A8"/>
    <mergeCell ref="B1:J1"/>
    <mergeCell ref="B2:F2"/>
    <mergeCell ref="D3:F3"/>
    <mergeCell ref="G10:H10"/>
    <mergeCell ref="I10:J10"/>
  </mergeCells>
  <conditionalFormatting sqref="D5">
    <cfRule type="cellIs" dxfId="69" priority="35" stopIfTrue="1" operator="equal">
      <formula>0</formula>
    </cfRule>
  </conditionalFormatting>
  <conditionalFormatting sqref="L4">
    <cfRule type="cellIs" dxfId="68" priority="34" stopIfTrue="1" operator="equal">
      <formula>0</formula>
    </cfRule>
  </conditionalFormatting>
  <conditionalFormatting sqref="L5">
    <cfRule type="cellIs" dxfId="67" priority="33" stopIfTrue="1" operator="equal">
      <formula>0</formula>
    </cfRule>
  </conditionalFormatting>
  <conditionalFormatting sqref="J4">
    <cfRule type="cellIs" dxfId="66" priority="32" stopIfTrue="1" operator="equal">
      <formula>0</formula>
    </cfRule>
  </conditionalFormatting>
  <conditionalFormatting sqref="H4">
    <cfRule type="expression" dxfId="65" priority="31">
      <formula>$H$4&gt;2.4</formula>
    </cfRule>
  </conditionalFormatting>
  <conditionalFormatting sqref="D9">
    <cfRule type="expression" dxfId="64" priority="30">
      <formula>NOT(_xlfn.ISFORMULA(D9))</formula>
    </cfRule>
  </conditionalFormatting>
  <conditionalFormatting sqref="J6">
    <cfRule type="cellIs" dxfId="63" priority="29" operator="equal">
      <formula>0</formula>
    </cfRule>
  </conditionalFormatting>
  <conditionalFormatting sqref="F12">
    <cfRule type="cellIs" dxfId="62" priority="27" stopIfTrue="1" operator="notEqual">
      <formula>1</formula>
    </cfRule>
  </conditionalFormatting>
  <conditionalFormatting sqref="B12">
    <cfRule type="cellIs" dxfId="61" priority="28" stopIfTrue="1" operator="equal">
      <formula>"i.v."</formula>
    </cfRule>
  </conditionalFormatting>
  <conditionalFormatting sqref="F15">
    <cfRule type="cellIs" dxfId="60" priority="25" stopIfTrue="1" operator="notEqual">
      <formula>1</formula>
    </cfRule>
  </conditionalFormatting>
  <conditionalFormatting sqref="B15">
    <cfRule type="cellIs" dxfId="59" priority="26" stopIfTrue="1" operator="equal">
      <formula>"i.v."</formula>
    </cfRule>
  </conditionalFormatting>
  <conditionalFormatting sqref="F17">
    <cfRule type="cellIs" dxfId="58" priority="23" stopIfTrue="1" operator="notEqual">
      <formula>1</formula>
    </cfRule>
  </conditionalFormatting>
  <conditionalFormatting sqref="B17">
    <cfRule type="cellIs" dxfId="57" priority="24" stopIfTrue="1" operator="equal">
      <formula>"i.v."</formula>
    </cfRule>
  </conditionalFormatting>
  <conditionalFormatting sqref="F19">
    <cfRule type="cellIs" dxfId="56" priority="21" stopIfTrue="1" operator="notEqual">
      <formula>1</formula>
    </cfRule>
  </conditionalFormatting>
  <conditionalFormatting sqref="B19">
    <cfRule type="cellIs" dxfId="55" priority="22" stopIfTrue="1" operator="equal">
      <formula>"i.v."</formula>
    </cfRule>
  </conditionalFormatting>
  <conditionalFormatting sqref="F22">
    <cfRule type="cellIs" dxfId="54" priority="19" stopIfTrue="1" operator="notEqual">
      <formula>1</formula>
    </cfRule>
  </conditionalFormatting>
  <conditionalFormatting sqref="B22">
    <cfRule type="cellIs" dxfId="53" priority="20" stopIfTrue="1" operator="equal">
      <formula>"i.v."</formula>
    </cfRule>
  </conditionalFormatting>
  <conditionalFormatting sqref="F24">
    <cfRule type="cellIs" dxfId="52" priority="17" stopIfTrue="1" operator="notEqual">
      <formula>1</formula>
    </cfRule>
  </conditionalFormatting>
  <conditionalFormatting sqref="B24">
    <cfRule type="cellIs" dxfId="51" priority="18" stopIfTrue="1" operator="equal">
      <formula>"i.v."</formula>
    </cfRule>
  </conditionalFormatting>
  <conditionalFormatting sqref="F26">
    <cfRule type="cellIs" dxfId="50" priority="15" stopIfTrue="1" operator="notEqual">
      <formula>1</formula>
    </cfRule>
  </conditionalFormatting>
  <conditionalFormatting sqref="B26">
    <cfRule type="cellIs" dxfId="49" priority="16" stopIfTrue="1" operator="equal">
      <formula>"i.v."</formula>
    </cfRule>
  </conditionalFormatting>
  <conditionalFormatting sqref="F28">
    <cfRule type="cellIs" dxfId="48" priority="13" stopIfTrue="1" operator="notEqual">
      <formula>1</formula>
    </cfRule>
  </conditionalFormatting>
  <conditionalFormatting sqref="B28">
    <cfRule type="cellIs" dxfId="47" priority="14" stopIfTrue="1" operator="equal">
      <formula>"i.v."</formula>
    </cfRule>
  </conditionalFormatting>
  <conditionalFormatting sqref="F30">
    <cfRule type="cellIs" dxfId="46" priority="11" stopIfTrue="1" operator="notEqual">
      <formula>1</formula>
    </cfRule>
  </conditionalFormatting>
  <conditionalFormatting sqref="B30">
    <cfRule type="cellIs" dxfId="45" priority="12" stopIfTrue="1" operator="equal">
      <formula>"i.v."</formula>
    </cfRule>
  </conditionalFormatting>
  <conditionalFormatting sqref="F33">
    <cfRule type="cellIs" dxfId="44" priority="9" stopIfTrue="1" operator="notEqual">
      <formula>1</formula>
    </cfRule>
  </conditionalFormatting>
  <conditionalFormatting sqref="B33">
    <cfRule type="cellIs" dxfId="43" priority="10" stopIfTrue="1" operator="equal">
      <formula>"i.v."</formula>
    </cfRule>
  </conditionalFormatting>
  <conditionalFormatting sqref="F36">
    <cfRule type="cellIs" dxfId="42" priority="7" stopIfTrue="1" operator="notEqual">
      <formula>1</formula>
    </cfRule>
  </conditionalFormatting>
  <conditionalFormatting sqref="B36">
    <cfRule type="cellIs" dxfId="41" priority="8" stopIfTrue="1" operator="equal">
      <formula>"i.v."</formula>
    </cfRule>
  </conditionalFormatting>
  <conditionalFormatting sqref="F38">
    <cfRule type="cellIs" dxfId="40" priority="5" stopIfTrue="1" operator="notEqual">
      <formula>1</formula>
    </cfRule>
  </conditionalFormatting>
  <conditionalFormatting sqref="B38">
    <cfRule type="cellIs" dxfId="39" priority="6" stopIfTrue="1" operator="equal">
      <formula>"i.v."</formula>
    </cfRule>
  </conditionalFormatting>
  <conditionalFormatting sqref="F40">
    <cfRule type="cellIs" dxfId="38" priority="3" stopIfTrue="1" operator="notEqual">
      <formula>1</formula>
    </cfRule>
  </conditionalFormatting>
  <conditionalFormatting sqref="B40">
    <cfRule type="cellIs" dxfId="37" priority="4" stopIfTrue="1" operator="equal">
      <formula>"i.v."</formula>
    </cfRule>
  </conditionalFormatting>
  <conditionalFormatting sqref="F42">
    <cfRule type="cellIs" dxfId="36" priority="1" stopIfTrue="1" operator="notEqual">
      <formula>1</formula>
    </cfRule>
  </conditionalFormatting>
  <conditionalFormatting sqref="B42">
    <cfRule type="cellIs" dxfId="35" priority="2" stopIfTrue="1" operator="equal">
      <formula>"i.v."</formula>
    </cfRule>
  </conditionalFormatting>
  <dataValidations count="7">
    <dataValidation type="date" allowBlank="1" showInputMessage="1" showErrorMessage="1" sqref="D9 F5">
      <formula1>36526</formula1>
      <formula2>55153</formula2>
    </dataValidation>
    <dataValidation type="decimal" allowBlank="1" showInputMessage="1" showErrorMessage="1" promptTitle="Dosismodifikation" prompt="0-150%" sqref="F12 F15 F17 F19 F22 F24 F26 F28 F30 F33 F36 F38 F40 F42">
      <formula1>0</formula1>
      <formula2>15</formula2>
    </dataValidation>
    <dataValidation type="list" allowBlank="1" showInputMessage="1" showErrorMessage="1" sqref="J5">
      <formula1>"rechts,links,-"</formula1>
    </dataValidation>
    <dataValidation type="list" allowBlank="1" showInputMessage="1" showErrorMessage="1" sqref="J4">
      <formula1>"-,rechts,links"</formula1>
    </dataValidation>
    <dataValidation type="decimal" allowBlank="1" showInputMessage="1" showErrorMessage="1" errorTitle="Grenzwerte" error="Nur Werte zwischen 40 und 250 erlaubt!" sqref="F4">
      <formula1>40</formula1>
      <formula2>250</formula2>
    </dataValidation>
    <dataValidation type="decimal" allowBlank="1" showInputMessage="1" showErrorMessage="1" errorTitle="Grenzwerte" error="Nur Werte zwischen 120 und 220 erlaubt!" sqref="D4">
      <formula1>120</formula1>
      <formula2>230</formula2>
    </dataValidation>
    <dataValidation type="decimal" allowBlank="1" showInputMessage="1" showErrorMessage="1" errorTitle="Grenzwerte" error="Nur Werte zwischen 0,3 und 5 erlaubt!" sqref="D5">
      <formula1>0.3</formula1>
      <formula2>5</formula2>
    </dataValidation>
  </dataValidations>
  <pageMargins left="0" right="0" top="0.78740157480314965" bottom="0.78740157480314965" header="0" footer="0"/>
  <pageSetup paperSize="9" scale="93" fitToHeight="0" orientation="landscape" r:id="rId1"/>
  <headerFooter>
    <oddHeader>&amp;C&amp;G&amp;LOnk. Amb. privat_x000D_Telefon: 1234_x000D_Fax: 5678&amp;RPraxis_x000D_Prof. Dr. Hans Mustermann_x000D_Onkologische Ambulanz</oddHeader>
    <oddFooter>&amp;LAnordnung (Vorname, Name, Datum)&amp;CDie Herausgeber und Autoren übernehmen keine Haftung für die Richtigkeit der Inhalte._x000D_Eine Plausibilitätsprüfung des Therapieplans durch den Arzt ist erforderlich.&amp;ROnkopti® (PID=47 V1.2)_x000D_01.09.2021 15:36:24_x000D_&amp;P/&amp;N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Z1000"/>
  <sheetViews>
    <sheetView showGridLines="0" zoomScale="115" zoomScaleNormal="115" workbookViewId="0">
      <selection activeCell="B42" sqref="B42:L43"/>
    </sheetView>
  </sheetViews>
  <sheetFormatPr defaultColWidth="11.42578125" defaultRowHeight="12.75" x14ac:dyDescent="0.2"/>
  <cols>
    <col min="1" max="1" width="3.7109375" style="1" customWidth="1"/>
    <col min="2" max="2" width="6.28515625" style="37" customWidth="1"/>
    <col min="3" max="3" width="22.42578125" style="37" customWidth="1"/>
    <col min="4" max="4" width="16.5703125" style="37" customWidth="1"/>
    <col min="5" max="5" width="14.140625" style="37" customWidth="1"/>
    <col min="6" max="6" width="13.42578125" style="37" customWidth="1"/>
    <col min="7" max="7" width="16.140625" style="37" customWidth="1"/>
    <col min="8" max="8" width="11.5703125" style="37" customWidth="1"/>
    <col min="9" max="9" width="15.42578125" style="37" customWidth="1"/>
    <col min="10" max="10" width="13.140625" style="37" customWidth="1"/>
    <col min="11" max="11" width="16.140625" style="37" customWidth="1"/>
    <col min="12" max="12" width="10.85546875" style="37" customWidth="1"/>
    <col min="13" max="16384" width="11.42578125" style="37"/>
  </cols>
  <sheetData>
    <row r="1" spans="1:26" ht="12.75" customHeight="1" x14ac:dyDescent="0.2">
      <c r="A1" s="164" t="s">
        <v>57</v>
      </c>
      <c r="B1" s="196" t="str">
        <f>Protokollname</f>
        <v>FOLFIRINOX - Oxaliplatin 85 / Folinsäure 400 / Irinotecan 180 / Fluorouracil 2400, metastasiertes Pankreaskarzinom (PID=47 V1.2)</v>
      </c>
      <c r="C1" s="196"/>
      <c r="D1" s="196"/>
      <c r="E1" s="196"/>
      <c r="F1" s="196"/>
      <c r="G1" s="196"/>
      <c r="H1" s="196"/>
      <c r="I1" s="196"/>
      <c r="J1" s="196"/>
      <c r="K1" s="40"/>
      <c r="L1" s="44" t="str">
        <f>"Z" &amp; Zyklusnummer &amp; "/d" &amp; F9</f>
        <v>Z1/d4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x14ac:dyDescent="0.25">
      <c r="A2" s="164"/>
      <c r="B2" s="223" t="str">
        <f>IF(PatientName="","",PatientName)</f>
        <v>Doe, John</v>
      </c>
      <c r="C2" s="224"/>
      <c r="D2" s="224"/>
      <c r="E2" s="224"/>
      <c r="F2" s="225"/>
      <c r="G2" s="42" t="s">
        <v>24</v>
      </c>
      <c r="H2" s="101">
        <f>PatientGeboren</f>
        <v>21916</v>
      </c>
      <c r="I2" s="43" t="s">
        <v>49</v>
      </c>
      <c r="J2" s="41" t="str">
        <f ca="1">DATEDIF(PatientGeboren,NOW(),"y")&amp;"J "&amp;MOD(DATEDIF(PatientGeboren,NOW(),"m"),12)&amp;"M"</f>
        <v>61J 8M</v>
      </c>
      <c r="K2" s="42" t="s">
        <v>5</v>
      </c>
      <c r="L2" s="102" t="str">
        <f>PatientGeschlecht</f>
        <v>m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64"/>
      <c r="B3" s="103"/>
      <c r="C3" s="42" t="s">
        <v>6</v>
      </c>
      <c r="D3" s="226" t="str">
        <f>IF(Diagnose="","-",Diagnose)</f>
        <v>Pankreaskarzinom</v>
      </c>
      <c r="E3" s="227"/>
      <c r="F3" s="228"/>
      <c r="G3" s="42" t="s">
        <v>7</v>
      </c>
      <c r="H3" s="46" t="str">
        <f>IF(Stadium="","",Stadium)</f>
        <v>IV</v>
      </c>
      <c r="I3" s="43" t="s">
        <v>44</v>
      </c>
      <c r="J3" s="104" t="str">
        <f>IF(Therapiemodus&lt;&gt;"",Therapiemodus,"")</f>
        <v>Erstlinie</v>
      </c>
      <c r="K3" s="42" t="s">
        <v>42</v>
      </c>
      <c r="L3" s="105">
        <f>IF(ErstdiagnoseDatum,ErstdiagnoseDatum,"")</f>
        <v>44356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64"/>
      <c r="B4" s="103"/>
      <c r="C4" s="42" t="s">
        <v>35</v>
      </c>
      <c r="D4" s="12">
        <f>GroesseCM_3</f>
        <v>170</v>
      </c>
      <c r="E4" s="42" t="s">
        <v>38</v>
      </c>
      <c r="F4" s="106">
        <f>KG_3</f>
        <v>75</v>
      </c>
      <c r="G4" s="42" t="s">
        <v>39</v>
      </c>
      <c r="H4" s="107">
        <f>KG_4^0.425*GroesseCM_4^0.725/139.315</f>
        <v>1.8619954939793939</v>
      </c>
      <c r="I4" s="42" t="s">
        <v>40</v>
      </c>
      <c r="J4" s="75" t="str">
        <f>PatientInfusionsarm</f>
        <v>rechts</v>
      </c>
      <c r="K4" s="42" t="s">
        <v>8</v>
      </c>
      <c r="L4" s="108">
        <f>IF(PatientID="","",PatientID)</f>
        <v>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4"/>
      <c r="B5" s="109"/>
      <c r="C5" s="42" t="s">
        <v>36</v>
      </c>
      <c r="D5" s="110">
        <f>SerumKreatinin_3</f>
        <v>0.8</v>
      </c>
      <c r="E5" s="43" t="s">
        <v>43</v>
      </c>
      <c r="F5" s="82">
        <f>SerumKreatininDatum_3</f>
        <v>44445</v>
      </c>
      <c r="G5" s="44" t="str">
        <f>"GFR " &amp; shortGFR(sGFR)</f>
        <v>GFR NM</v>
      </c>
      <c r="H5" s="111">
        <f ca="1">fGFR(F4,D4,PatientAlter,PatientGeschlecht,D5)</f>
        <v>98.988629165216764</v>
      </c>
      <c r="I5" s="42" t="s">
        <v>41</v>
      </c>
      <c r="J5" s="75" t="str">
        <f>PatientPort</f>
        <v>rechts</v>
      </c>
      <c r="K5" s="42" t="s">
        <v>9</v>
      </c>
      <c r="L5" s="108">
        <f>IF(Auftragsnummer="","",Auftragsnummer)</f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x14ac:dyDescent="0.25">
      <c r="A6" s="164"/>
      <c r="B6" s="112"/>
      <c r="C6" s="23" t="s">
        <v>58</v>
      </c>
      <c r="D6" s="105">
        <f>Therapiebeginn</f>
        <v>44445</v>
      </c>
      <c r="E6" s="44" t="s">
        <v>28</v>
      </c>
      <c r="F6" s="113">
        <f>EmpfZyklen</f>
        <v>12</v>
      </c>
      <c r="G6" s="42" t="s">
        <v>26</v>
      </c>
      <c r="H6" s="114">
        <f>IntervallTage</f>
        <v>14</v>
      </c>
      <c r="I6" s="42" t="s">
        <v>37</v>
      </c>
      <c r="J6" s="115">
        <f>DatumErsterZyklus</f>
        <v>44445</v>
      </c>
      <c r="K6" s="42" t="s">
        <v>27</v>
      </c>
      <c r="L6" s="105">
        <f>nächsterZyklus</f>
        <v>44459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25">
      <c r="A7" s="164"/>
      <c r="B7" s="112"/>
      <c r="C7" s="42" t="s">
        <v>52</v>
      </c>
      <c r="D7" s="116" t="str">
        <f>Dateipfad</f>
        <v>c:\Protokolle</v>
      </c>
      <c r="E7" s="117"/>
      <c r="F7" s="118"/>
      <c r="G7" s="117"/>
      <c r="H7" s="119"/>
      <c r="I7" s="5"/>
      <c r="J7" s="5"/>
      <c r="K7" s="120"/>
      <c r="L7" s="2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5" thickBot="1" x14ac:dyDescent="0.3">
      <c r="A8" s="164"/>
      <c r="B8" s="112"/>
      <c r="C8" s="42"/>
      <c r="D8" s="116"/>
      <c r="E8" s="117"/>
      <c r="F8" s="118"/>
      <c r="G8" s="117"/>
      <c r="H8" s="119"/>
      <c r="I8" s="5"/>
      <c r="J8" s="5"/>
      <c r="K8" s="120"/>
      <c r="L8" s="2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.5" thickBot="1" x14ac:dyDescent="0.3">
      <c r="A9" s="83"/>
      <c r="B9" s="121"/>
      <c r="C9" s="122" t="s">
        <v>17</v>
      </c>
      <c r="D9" s="47">
        <f>PDateOV_4</f>
        <v>44448</v>
      </c>
      <c r="E9" s="123" t="s">
        <v>18</v>
      </c>
      <c r="F9" s="123">
        <v>4</v>
      </c>
      <c r="G9" s="123" t="s">
        <v>29</v>
      </c>
      <c r="H9" s="123">
        <f>Zyklusnummer</f>
        <v>1</v>
      </c>
      <c r="I9" s="124" t="s">
        <v>0</v>
      </c>
      <c r="J9" s="125">
        <v>0</v>
      </c>
      <c r="K9" s="126"/>
      <c r="L9" s="12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6.25" customHeight="1" x14ac:dyDescent="0.2">
      <c r="A10" s="83"/>
      <c r="B10" s="128" t="s">
        <v>14</v>
      </c>
      <c r="C10" s="129" t="s">
        <v>11</v>
      </c>
      <c r="D10" s="130" t="s">
        <v>10</v>
      </c>
      <c r="E10" s="129" t="s">
        <v>12</v>
      </c>
      <c r="F10" s="129" t="s">
        <v>55</v>
      </c>
      <c r="G10" s="229" t="s">
        <v>13</v>
      </c>
      <c r="H10" s="229"/>
      <c r="I10" s="229" t="s">
        <v>16</v>
      </c>
      <c r="J10" s="229"/>
      <c r="K10" s="131" t="s">
        <v>15</v>
      </c>
      <c r="L10" s="132" t="s">
        <v>54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idden="1" x14ac:dyDescent="0.2">
      <c r="A11" s="83"/>
      <c r="B11" s="133" t="s">
        <v>59</v>
      </c>
      <c r="C11" s="134"/>
      <c r="D11" s="134"/>
      <c r="E11" s="134"/>
      <c r="F11" s="134"/>
      <c r="G11" s="135"/>
      <c r="H11" s="135"/>
      <c r="I11" s="135"/>
      <c r="J11" s="135"/>
      <c r="K11" s="134"/>
      <c r="L11" s="136" t="s">
        <v>60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idden="1" x14ac:dyDescent="0.2">
      <c r="A12" s="83"/>
      <c r="B12" s="137" t="s">
        <v>31</v>
      </c>
      <c r="C12" s="138" t="s">
        <v>61</v>
      </c>
      <c r="D12" s="139">
        <f>PMSID_2435_4_B_D*1*PMSID_2435_4_F_D</f>
        <v>0</v>
      </c>
      <c r="E12" s="48">
        <v>500</v>
      </c>
      <c r="F12" s="140">
        <v>0</v>
      </c>
      <c r="G12" s="230" t="s">
        <v>53</v>
      </c>
      <c r="H12" s="230"/>
      <c r="I12" s="231" t="s">
        <v>62</v>
      </c>
      <c r="J12" s="230"/>
      <c r="K12" s="30" t="s">
        <v>63</v>
      </c>
      <c r="L12" s="14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idden="1" x14ac:dyDescent="0.2">
      <c r="A13" s="83"/>
      <c r="B13" s="142"/>
      <c r="C13" s="143"/>
      <c r="D13" s="143"/>
      <c r="E13" s="143"/>
      <c r="F13" s="143"/>
      <c r="G13" s="232"/>
      <c r="H13" s="233"/>
      <c r="I13" s="232"/>
      <c r="J13" s="233"/>
      <c r="K13" s="143"/>
      <c r="L13" s="14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idden="1" x14ac:dyDescent="0.2">
      <c r="A14" s="6"/>
      <c r="B14" s="145" t="s">
        <v>64</v>
      </c>
      <c r="C14" s="146"/>
      <c r="D14" s="146"/>
      <c r="E14" s="146"/>
      <c r="F14" s="146"/>
      <c r="G14" s="147"/>
      <c r="H14" s="147"/>
      <c r="I14" s="147"/>
      <c r="J14" s="147"/>
      <c r="K14" s="146"/>
      <c r="L14" s="148" t="s">
        <v>60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idden="1" x14ac:dyDescent="0.2">
      <c r="A15" s="6"/>
      <c r="B15" s="137" t="s">
        <v>31</v>
      </c>
      <c r="C15" s="138" t="s">
        <v>65</v>
      </c>
      <c r="D15" s="51">
        <f>PMSID_947_4_B_D*1*PMSID_947_4_F_D</f>
        <v>0</v>
      </c>
      <c r="E15" s="49">
        <v>8</v>
      </c>
      <c r="F15" s="140">
        <v>0</v>
      </c>
      <c r="G15" s="230" t="s">
        <v>66</v>
      </c>
      <c r="H15" s="230"/>
      <c r="I15" s="231" t="s">
        <v>67</v>
      </c>
      <c r="J15" s="230"/>
      <c r="K15" s="30" t="s">
        <v>68</v>
      </c>
      <c r="L15" s="14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idden="1" x14ac:dyDescent="0.2">
      <c r="A16" s="6"/>
      <c r="B16" s="142"/>
      <c r="C16" s="143"/>
      <c r="D16" s="143"/>
      <c r="E16" s="143"/>
      <c r="F16" s="143"/>
      <c r="G16" s="232"/>
      <c r="H16" s="233"/>
      <c r="I16" s="232"/>
      <c r="J16" s="233"/>
      <c r="K16" s="143"/>
      <c r="L16" s="14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idden="1" x14ac:dyDescent="0.2">
      <c r="A17" s="6"/>
      <c r="B17" s="137" t="s">
        <v>31</v>
      </c>
      <c r="C17" s="138" t="s">
        <v>69</v>
      </c>
      <c r="D17" s="51">
        <f>PMSID_948_4_B_D*1*PMSID_948_4_F_D</f>
        <v>0</v>
      </c>
      <c r="E17" s="49">
        <v>1</v>
      </c>
      <c r="F17" s="140">
        <v>0</v>
      </c>
      <c r="G17" s="230" t="s">
        <v>66</v>
      </c>
      <c r="H17" s="230"/>
      <c r="I17" s="231" t="s">
        <v>70</v>
      </c>
      <c r="J17" s="230"/>
      <c r="K17" s="30" t="s">
        <v>68</v>
      </c>
      <c r="L17" s="14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idden="1" x14ac:dyDescent="0.2">
      <c r="A18" s="6"/>
      <c r="B18" s="142"/>
      <c r="C18" s="143"/>
      <c r="D18" s="143"/>
      <c r="E18" s="143"/>
      <c r="F18" s="143"/>
      <c r="G18" s="232"/>
      <c r="H18" s="233"/>
      <c r="I18" s="232"/>
      <c r="J18" s="233"/>
      <c r="K18" s="143"/>
      <c r="L18" s="14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idden="1" x14ac:dyDescent="0.2">
      <c r="A19" s="6"/>
      <c r="B19" s="137" t="s">
        <v>32</v>
      </c>
      <c r="C19" s="138" t="s">
        <v>65</v>
      </c>
      <c r="D19" s="51">
        <f>PMSID_11533_4_B_D*1*PMSID_11533_4_F_D</f>
        <v>0</v>
      </c>
      <c r="E19" s="49">
        <v>8</v>
      </c>
      <c r="F19" s="140">
        <v>0</v>
      </c>
      <c r="G19" s="230" t="s">
        <v>53</v>
      </c>
      <c r="H19" s="230"/>
      <c r="I19" s="231" t="s">
        <v>71</v>
      </c>
      <c r="J19" s="230"/>
      <c r="K19" s="30" t="s">
        <v>72</v>
      </c>
      <c r="L19" s="14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idden="1" x14ac:dyDescent="0.2">
      <c r="A20" s="6"/>
      <c r="B20" s="142"/>
      <c r="C20" s="143"/>
      <c r="D20" s="143"/>
      <c r="E20" s="143"/>
      <c r="F20" s="143"/>
      <c r="G20" s="232"/>
      <c r="H20" s="233"/>
      <c r="I20" s="232"/>
      <c r="J20" s="233"/>
      <c r="K20" s="143"/>
      <c r="L20" s="14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idden="1" x14ac:dyDescent="0.2">
      <c r="A21" s="6"/>
      <c r="B21" s="149" t="s">
        <v>73</v>
      </c>
      <c r="C21" s="150"/>
      <c r="D21" s="150"/>
      <c r="E21" s="150"/>
      <c r="F21" s="150"/>
      <c r="G21" s="151"/>
      <c r="H21" s="151"/>
      <c r="I21" s="151"/>
      <c r="J21" s="151"/>
      <c r="K21" s="150"/>
      <c r="L21" s="152" t="s">
        <v>74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idden="1" x14ac:dyDescent="0.2">
      <c r="A22" s="6"/>
      <c r="B22" s="137" t="s">
        <v>31</v>
      </c>
      <c r="C22" s="138" t="s">
        <v>75</v>
      </c>
      <c r="D22" s="153">
        <f>PMSID_6608_4_B_D*KOF_4*PMSID_6608_4_F_D</f>
        <v>0</v>
      </c>
      <c r="E22" s="50">
        <v>85</v>
      </c>
      <c r="F22" s="140">
        <v>0</v>
      </c>
      <c r="G22" s="230" t="s">
        <v>76</v>
      </c>
      <c r="H22" s="230"/>
      <c r="I22" s="231" t="s">
        <v>77</v>
      </c>
      <c r="J22" s="230"/>
      <c r="K22" s="30" t="s">
        <v>78</v>
      </c>
      <c r="L22" s="14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idden="1" x14ac:dyDescent="0.2">
      <c r="A23" s="6"/>
      <c r="B23" s="142"/>
      <c r="C23" s="143"/>
      <c r="D23" s="143"/>
      <c r="E23" s="143"/>
      <c r="F23" s="143"/>
      <c r="G23" s="232"/>
      <c r="H23" s="233"/>
      <c r="I23" s="232"/>
      <c r="J23" s="233"/>
      <c r="K23" s="143"/>
      <c r="L23" s="144"/>
      <c r="M23" s="5"/>
      <c r="N23" s="5"/>
      <c r="O23" s="5"/>
      <c r="P23" s="154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idden="1" x14ac:dyDescent="0.2">
      <c r="A24" s="6"/>
      <c r="B24" s="137" t="s">
        <v>31</v>
      </c>
      <c r="C24" s="138" t="s">
        <v>79</v>
      </c>
      <c r="D24" s="153">
        <f>PMSID_6606_4_B_D*KOF_4*PMSID_6606_4_F_D</f>
        <v>0</v>
      </c>
      <c r="E24" s="50">
        <v>400</v>
      </c>
      <c r="F24" s="140">
        <v>0</v>
      </c>
      <c r="G24" s="230" t="s">
        <v>80</v>
      </c>
      <c r="H24" s="230"/>
      <c r="I24" s="231" t="s">
        <v>77</v>
      </c>
      <c r="J24" s="230"/>
      <c r="K24" s="30" t="s">
        <v>78</v>
      </c>
      <c r="L24" s="141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idden="1" x14ac:dyDescent="0.2">
      <c r="A25" s="6"/>
      <c r="B25" s="142"/>
      <c r="C25" s="143"/>
      <c r="D25" s="143"/>
      <c r="E25" s="143"/>
      <c r="F25" s="143"/>
      <c r="G25" s="232"/>
      <c r="H25" s="233"/>
      <c r="I25" s="232"/>
      <c r="J25" s="233"/>
      <c r="K25" s="143"/>
      <c r="L25" s="14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idden="1" x14ac:dyDescent="0.2">
      <c r="A26" s="6"/>
      <c r="B26" s="137" t="s">
        <v>31</v>
      </c>
      <c r="C26" s="138" t="s">
        <v>81</v>
      </c>
      <c r="D26" s="153">
        <f>PMSID_6607_4_B_D*KOF_4*PMSID_6607_4_F_D</f>
        <v>0</v>
      </c>
      <c r="E26" s="50">
        <v>180</v>
      </c>
      <c r="F26" s="140">
        <v>0</v>
      </c>
      <c r="G26" s="230" t="s">
        <v>80</v>
      </c>
      <c r="H26" s="230"/>
      <c r="I26" s="231" t="s">
        <v>82</v>
      </c>
      <c r="J26" s="230"/>
      <c r="K26" s="30" t="s">
        <v>83</v>
      </c>
      <c r="L26" s="14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idden="1" x14ac:dyDescent="0.2">
      <c r="A27" s="6"/>
      <c r="B27" s="142"/>
      <c r="C27" s="143"/>
      <c r="D27" s="143"/>
      <c r="E27" s="143"/>
      <c r="F27" s="143"/>
      <c r="G27" s="232"/>
      <c r="H27" s="233"/>
      <c r="I27" s="232"/>
      <c r="J27" s="233"/>
      <c r="K27" s="143"/>
      <c r="L27" s="14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idden="1" x14ac:dyDescent="0.2">
      <c r="A28" s="6"/>
      <c r="B28" s="137" t="s">
        <v>31</v>
      </c>
      <c r="C28" s="138" t="s">
        <v>84</v>
      </c>
      <c r="D28" s="153">
        <f>PMSID_6609_4_B_D*KOF_4*PMSID_6609_4_F_D</f>
        <v>0</v>
      </c>
      <c r="E28" s="50">
        <v>400</v>
      </c>
      <c r="F28" s="140">
        <v>0</v>
      </c>
      <c r="G28" s="230" t="s">
        <v>53</v>
      </c>
      <c r="H28" s="230"/>
      <c r="I28" s="231" t="s">
        <v>77</v>
      </c>
      <c r="J28" s="230"/>
      <c r="K28" s="30" t="s">
        <v>85</v>
      </c>
      <c r="L28" s="14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idden="1" x14ac:dyDescent="0.2">
      <c r="A29" s="6"/>
      <c r="B29" s="142"/>
      <c r="C29" s="143"/>
      <c r="D29" s="143"/>
      <c r="E29" s="143"/>
      <c r="F29" s="143"/>
      <c r="G29" s="232"/>
      <c r="H29" s="233"/>
      <c r="I29" s="232"/>
      <c r="J29" s="233"/>
      <c r="K29" s="143"/>
      <c r="L29" s="14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idden="1" x14ac:dyDescent="0.2">
      <c r="A30" s="6"/>
      <c r="B30" s="137" t="s">
        <v>31</v>
      </c>
      <c r="C30" s="138" t="s">
        <v>84</v>
      </c>
      <c r="D30" s="153">
        <f>PMSID_6610_4_B_D*KOF_4*PMSID_6610_4_F_D</f>
        <v>0</v>
      </c>
      <c r="E30" s="50">
        <v>2400</v>
      </c>
      <c r="F30" s="140">
        <v>0</v>
      </c>
      <c r="G30" s="230" t="s">
        <v>86</v>
      </c>
      <c r="H30" s="230"/>
      <c r="I30" s="231" t="s">
        <v>77</v>
      </c>
      <c r="J30" s="230"/>
      <c r="K30" s="30" t="s">
        <v>87</v>
      </c>
      <c r="L30" s="14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idden="1" x14ac:dyDescent="0.2">
      <c r="A31" s="6"/>
      <c r="B31" s="142"/>
      <c r="C31" s="143"/>
      <c r="D31" s="143"/>
      <c r="E31" s="143"/>
      <c r="F31" s="143"/>
      <c r="G31" s="232"/>
      <c r="H31" s="233"/>
      <c r="I31" s="232"/>
      <c r="J31" s="233"/>
      <c r="K31" s="143"/>
      <c r="L31" s="14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6"/>
      <c r="B32" s="155" t="s">
        <v>88</v>
      </c>
      <c r="C32" s="156"/>
      <c r="D32" s="156"/>
      <c r="E32" s="156"/>
      <c r="F32" s="156"/>
      <c r="G32" s="157"/>
      <c r="H32" s="157"/>
      <c r="I32" s="157"/>
      <c r="J32" s="157"/>
      <c r="K32" s="156"/>
      <c r="L32" s="158" t="s">
        <v>89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6"/>
      <c r="B33" s="137" t="s">
        <v>33</v>
      </c>
      <c r="C33" s="138" t="s">
        <v>90</v>
      </c>
      <c r="D33" s="51">
        <f>PMSID_2339_4_B_D*1*PMSID_2339_4_F_D</f>
        <v>6</v>
      </c>
      <c r="E33" s="49">
        <v>6</v>
      </c>
      <c r="F33" s="140">
        <v>1</v>
      </c>
      <c r="G33" s="230" t="s">
        <v>53</v>
      </c>
      <c r="H33" s="230"/>
      <c r="I33" s="231" t="s">
        <v>91</v>
      </c>
      <c r="J33" s="230"/>
      <c r="K33" s="30" t="s">
        <v>72</v>
      </c>
      <c r="L33" s="1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6"/>
      <c r="B34" s="142"/>
      <c r="C34" s="143"/>
      <c r="D34" s="143"/>
      <c r="E34" s="143"/>
      <c r="F34" s="143"/>
      <c r="G34" s="232"/>
      <c r="H34" s="233"/>
      <c r="I34" s="232"/>
      <c r="J34" s="233"/>
      <c r="K34" s="143"/>
      <c r="L34" s="14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idden="1" x14ac:dyDescent="0.2">
      <c r="A35" s="6"/>
      <c r="B35" s="159" t="s">
        <v>92</v>
      </c>
      <c r="C35" s="160"/>
      <c r="D35" s="160"/>
      <c r="E35" s="160"/>
      <c r="F35" s="160"/>
      <c r="G35" s="161"/>
      <c r="H35" s="161"/>
      <c r="I35" s="161"/>
      <c r="J35" s="161"/>
      <c r="K35" s="160"/>
      <c r="L35" s="162" t="s">
        <v>93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idden="1" x14ac:dyDescent="0.2">
      <c r="A36" s="6"/>
      <c r="B36" s="137" t="s">
        <v>32</v>
      </c>
      <c r="C36" s="138"/>
      <c r="D36" s="51">
        <f>PMSID_1_4_B_D*PMSID_1_4_F_D</f>
        <v>0</v>
      </c>
      <c r="E36" s="49">
        <v>0</v>
      </c>
      <c r="F36" s="140">
        <v>0</v>
      </c>
      <c r="G36" s="230" t="s">
        <v>53</v>
      </c>
      <c r="H36" s="230"/>
      <c r="I36" s="231" t="s">
        <v>94</v>
      </c>
      <c r="J36" s="230"/>
      <c r="K36" s="30" t="s">
        <v>72</v>
      </c>
      <c r="L36" s="1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idden="1" x14ac:dyDescent="0.2">
      <c r="A37" s="6"/>
      <c r="B37" s="142"/>
      <c r="C37" s="143"/>
      <c r="D37" s="143"/>
      <c r="E37" s="143"/>
      <c r="F37" s="143"/>
      <c r="G37" s="232"/>
      <c r="H37" s="233"/>
      <c r="I37" s="232"/>
      <c r="J37" s="233"/>
      <c r="K37" s="143"/>
      <c r="L37" s="14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idden="1" x14ac:dyDescent="0.2">
      <c r="A38" s="6"/>
      <c r="B38" s="137" t="s">
        <v>32</v>
      </c>
      <c r="C38" s="138"/>
      <c r="D38" s="51">
        <f>PMSID_2_4_B_D*PMSID_2_4_F_D</f>
        <v>0</v>
      </c>
      <c r="E38" s="49">
        <v>0</v>
      </c>
      <c r="F38" s="140">
        <v>0</v>
      </c>
      <c r="G38" s="230" t="s">
        <v>53</v>
      </c>
      <c r="H38" s="230"/>
      <c r="I38" s="231" t="s">
        <v>94</v>
      </c>
      <c r="J38" s="230"/>
      <c r="K38" s="30" t="s">
        <v>72</v>
      </c>
      <c r="L38" s="1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idden="1" x14ac:dyDescent="0.2">
      <c r="A39" s="6"/>
      <c r="B39" s="142"/>
      <c r="C39" s="143"/>
      <c r="D39" s="143"/>
      <c r="E39" s="143"/>
      <c r="F39" s="143"/>
      <c r="G39" s="232"/>
      <c r="H39" s="233"/>
      <c r="I39" s="232"/>
      <c r="J39" s="233"/>
      <c r="K39" s="143"/>
      <c r="L39" s="14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idden="1" x14ac:dyDescent="0.2">
      <c r="A40" s="6"/>
      <c r="B40" s="137" t="s">
        <v>32</v>
      </c>
      <c r="C40" s="138"/>
      <c r="D40" s="51">
        <f>PMSID_3_4_B_D*PMSID_3_4_F_D</f>
        <v>0</v>
      </c>
      <c r="E40" s="49">
        <v>0</v>
      </c>
      <c r="F40" s="140">
        <v>0</v>
      </c>
      <c r="G40" s="230" t="s">
        <v>53</v>
      </c>
      <c r="H40" s="230"/>
      <c r="I40" s="231" t="s">
        <v>94</v>
      </c>
      <c r="J40" s="230"/>
      <c r="K40" s="30" t="s">
        <v>72</v>
      </c>
      <c r="L40" s="1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idden="1" x14ac:dyDescent="0.2">
      <c r="A41" s="6"/>
      <c r="B41" s="142"/>
      <c r="C41" s="143"/>
      <c r="D41" s="143"/>
      <c r="E41" s="143"/>
      <c r="F41" s="143"/>
      <c r="G41" s="232"/>
      <c r="H41" s="233"/>
      <c r="I41" s="232"/>
      <c r="J41" s="233"/>
      <c r="K41" s="143"/>
      <c r="L41" s="14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idden="1" x14ac:dyDescent="0.2">
      <c r="A42" s="6"/>
      <c r="B42" s="137" t="s">
        <v>32</v>
      </c>
      <c r="C42" s="138"/>
      <c r="D42" s="51">
        <f>PMSID_4_4_B_D*PMSID_4_4_F_D</f>
        <v>0</v>
      </c>
      <c r="E42" s="49">
        <v>0</v>
      </c>
      <c r="F42" s="140">
        <v>0</v>
      </c>
      <c r="G42" s="230" t="s">
        <v>53</v>
      </c>
      <c r="H42" s="230"/>
      <c r="I42" s="231" t="s">
        <v>94</v>
      </c>
      <c r="J42" s="230"/>
      <c r="K42" s="30" t="s">
        <v>72</v>
      </c>
      <c r="L42" s="1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idden="1" x14ac:dyDescent="0.2">
      <c r="A43" s="6"/>
      <c r="B43" s="142"/>
      <c r="C43" s="143"/>
      <c r="D43" s="143"/>
      <c r="E43" s="143"/>
      <c r="F43" s="143"/>
      <c r="G43" s="232"/>
      <c r="H43" s="233"/>
      <c r="I43" s="232"/>
      <c r="J43" s="233"/>
      <c r="K43" s="143"/>
      <c r="L43" s="14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6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6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6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6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6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6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6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6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6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6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6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6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6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6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6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6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6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6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6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6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6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6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6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6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6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6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6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6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6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6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6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6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6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6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6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6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6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6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6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6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6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6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6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6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6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6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6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6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6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6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6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6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6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6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6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6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6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6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6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6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6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6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6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6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6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6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6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6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6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6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6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6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6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6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6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6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6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6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6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6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6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6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6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6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6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6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6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6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6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S3oYF+oKMxQu+FCBKzOfEGq4lb1Csk8RATrxmRXgBor+jhOAd2hkJmrhcOqRyd5Znz2XvX61KAn4804AFjk+FA==" saltValue="zSM50mx1Jo1C1V3xw0tOBQ==" spinCount="100000" sheet="1" objects="1" scenarios="1"/>
  <dataConsolidate/>
  <mergeCells count="62">
    <mergeCell ref="G43:H43"/>
    <mergeCell ref="I43:J43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3:H33"/>
    <mergeCell ref="I33:J33"/>
    <mergeCell ref="G34:H34"/>
    <mergeCell ref="I34:J34"/>
    <mergeCell ref="G36:H36"/>
    <mergeCell ref="I36:J36"/>
    <mergeCell ref="G29:H29"/>
    <mergeCell ref="I29:J29"/>
    <mergeCell ref="G30:H30"/>
    <mergeCell ref="I30:J30"/>
    <mergeCell ref="G31:H31"/>
    <mergeCell ref="I31:J31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19:H19"/>
    <mergeCell ref="I19:J19"/>
    <mergeCell ref="G20:H20"/>
    <mergeCell ref="I20:J20"/>
    <mergeCell ref="G22:H22"/>
    <mergeCell ref="I22:J22"/>
    <mergeCell ref="G16:H16"/>
    <mergeCell ref="I16:J16"/>
    <mergeCell ref="G17:H17"/>
    <mergeCell ref="I17:J17"/>
    <mergeCell ref="G18:H18"/>
    <mergeCell ref="I18:J18"/>
    <mergeCell ref="G12:H12"/>
    <mergeCell ref="I12:J12"/>
    <mergeCell ref="G13:H13"/>
    <mergeCell ref="I13:J13"/>
    <mergeCell ref="G15:H15"/>
    <mergeCell ref="I15:J15"/>
    <mergeCell ref="A1:A8"/>
    <mergeCell ref="B1:J1"/>
    <mergeCell ref="B2:F2"/>
    <mergeCell ref="D3:F3"/>
    <mergeCell ref="G10:H10"/>
    <mergeCell ref="I10:J10"/>
  </mergeCells>
  <conditionalFormatting sqref="D5">
    <cfRule type="cellIs" dxfId="34" priority="35" stopIfTrue="1" operator="equal">
      <formula>0</formula>
    </cfRule>
  </conditionalFormatting>
  <conditionalFormatting sqref="L4">
    <cfRule type="cellIs" dxfId="33" priority="34" stopIfTrue="1" operator="equal">
      <formula>0</formula>
    </cfRule>
  </conditionalFormatting>
  <conditionalFormatting sqref="L5">
    <cfRule type="cellIs" dxfId="32" priority="33" stopIfTrue="1" operator="equal">
      <formula>0</formula>
    </cfRule>
  </conditionalFormatting>
  <conditionalFormatting sqref="J4">
    <cfRule type="cellIs" dxfId="31" priority="32" stopIfTrue="1" operator="equal">
      <formula>0</formula>
    </cfRule>
  </conditionalFormatting>
  <conditionalFormatting sqref="H4">
    <cfRule type="expression" dxfId="30" priority="31">
      <formula>$H$4&gt;2.4</formula>
    </cfRule>
  </conditionalFormatting>
  <conditionalFormatting sqref="D9">
    <cfRule type="expression" dxfId="29" priority="30">
      <formula>NOT(_xlfn.ISFORMULA(D9))</formula>
    </cfRule>
  </conditionalFormatting>
  <conditionalFormatting sqref="J6">
    <cfRule type="cellIs" dxfId="28" priority="29" operator="equal">
      <formula>0</formula>
    </cfRule>
  </conditionalFormatting>
  <conditionalFormatting sqref="F12">
    <cfRule type="cellIs" dxfId="27" priority="27" stopIfTrue="1" operator="notEqual">
      <formula>1</formula>
    </cfRule>
  </conditionalFormatting>
  <conditionalFormatting sqref="B12">
    <cfRule type="cellIs" dxfId="26" priority="28" stopIfTrue="1" operator="equal">
      <formula>"i.v."</formula>
    </cfRule>
  </conditionalFormatting>
  <conditionalFormatting sqref="F15">
    <cfRule type="cellIs" dxfId="25" priority="25" stopIfTrue="1" operator="notEqual">
      <formula>1</formula>
    </cfRule>
  </conditionalFormatting>
  <conditionalFormatting sqref="B15">
    <cfRule type="cellIs" dxfId="24" priority="26" stopIfTrue="1" operator="equal">
      <formula>"i.v."</formula>
    </cfRule>
  </conditionalFormatting>
  <conditionalFormatting sqref="F17">
    <cfRule type="cellIs" dxfId="23" priority="23" stopIfTrue="1" operator="notEqual">
      <formula>1</formula>
    </cfRule>
  </conditionalFormatting>
  <conditionalFormatting sqref="B17">
    <cfRule type="cellIs" dxfId="22" priority="24" stopIfTrue="1" operator="equal">
      <formula>"i.v."</formula>
    </cfRule>
  </conditionalFormatting>
  <conditionalFormatting sqref="F19">
    <cfRule type="cellIs" dxfId="21" priority="21" stopIfTrue="1" operator="notEqual">
      <formula>1</formula>
    </cfRule>
  </conditionalFormatting>
  <conditionalFormatting sqref="B19">
    <cfRule type="cellIs" dxfId="20" priority="22" stopIfTrue="1" operator="equal">
      <formula>"i.v."</formula>
    </cfRule>
  </conditionalFormatting>
  <conditionalFormatting sqref="F22">
    <cfRule type="cellIs" dxfId="19" priority="19" stopIfTrue="1" operator="notEqual">
      <formula>1</formula>
    </cfRule>
  </conditionalFormatting>
  <conditionalFormatting sqref="B22">
    <cfRule type="cellIs" dxfId="18" priority="20" stopIfTrue="1" operator="equal">
      <formula>"i.v."</formula>
    </cfRule>
  </conditionalFormatting>
  <conditionalFormatting sqref="F24">
    <cfRule type="cellIs" dxfId="17" priority="17" stopIfTrue="1" operator="notEqual">
      <formula>1</formula>
    </cfRule>
  </conditionalFormatting>
  <conditionalFormatting sqref="B24">
    <cfRule type="cellIs" dxfId="16" priority="18" stopIfTrue="1" operator="equal">
      <formula>"i.v."</formula>
    </cfRule>
  </conditionalFormatting>
  <conditionalFormatting sqref="F26">
    <cfRule type="cellIs" dxfId="15" priority="15" stopIfTrue="1" operator="notEqual">
      <formula>1</formula>
    </cfRule>
  </conditionalFormatting>
  <conditionalFormatting sqref="B26">
    <cfRule type="cellIs" dxfId="14" priority="16" stopIfTrue="1" operator="equal">
      <formula>"i.v."</formula>
    </cfRule>
  </conditionalFormatting>
  <conditionalFormatting sqref="F28">
    <cfRule type="cellIs" dxfId="13" priority="13" stopIfTrue="1" operator="notEqual">
      <formula>1</formula>
    </cfRule>
  </conditionalFormatting>
  <conditionalFormatting sqref="B28">
    <cfRule type="cellIs" dxfId="12" priority="14" stopIfTrue="1" operator="equal">
      <formula>"i.v."</formula>
    </cfRule>
  </conditionalFormatting>
  <conditionalFormatting sqref="F30">
    <cfRule type="cellIs" dxfId="11" priority="11" stopIfTrue="1" operator="notEqual">
      <formula>1</formula>
    </cfRule>
  </conditionalFormatting>
  <conditionalFormatting sqref="B30">
    <cfRule type="cellIs" dxfId="10" priority="12" stopIfTrue="1" operator="equal">
      <formula>"i.v."</formula>
    </cfRule>
  </conditionalFormatting>
  <conditionalFormatting sqref="F33">
    <cfRule type="cellIs" dxfId="9" priority="9" stopIfTrue="1" operator="notEqual">
      <formula>1</formula>
    </cfRule>
  </conditionalFormatting>
  <conditionalFormatting sqref="B33">
    <cfRule type="cellIs" dxfId="8" priority="10" stopIfTrue="1" operator="equal">
      <formula>"i.v."</formula>
    </cfRule>
  </conditionalFormatting>
  <conditionalFormatting sqref="F36">
    <cfRule type="cellIs" dxfId="7" priority="7" stopIfTrue="1" operator="notEqual">
      <formula>1</formula>
    </cfRule>
  </conditionalFormatting>
  <conditionalFormatting sqref="B36">
    <cfRule type="cellIs" dxfId="6" priority="8" stopIfTrue="1" operator="equal">
      <formula>"i.v."</formula>
    </cfRule>
  </conditionalFormatting>
  <conditionalFormatting sqref="F38">
    <cfRule type="cellIs" dxfId="5" priority="5" stopIfTrue="1" operator="notEqual">
      <formula>1</formula>
    </cfRule>
  </conditionalFormatting>
  <conditionalFormatting sqref="B38">
    <cfRule type="cellIs" dxfId="4" priority="6" stopIfTrue="1" operator="equal">
      <formula>"i.v."</formula>
    </cfRule>
  </conditionalFormatting>
  <conditionalFormatting sqref="F40">
    <cfRule type="cellIs" dxfId="3" priority="3" stopIfTrue="1" operator="notEqual">
      <formula>1</formula>
    </cfRule>
  </conditionalFormatting>
  <conditionalFormatting sqref="B40">
    <cfRule type="cellIs" dxfId="2" priority="4" stopIfTrue="1" operator="equal">
      <formula>"i.v."</formula>
    </cfRule>
  </conditionalFormatting>
  <conditionalFormatting sqref="F42">
    <cfRule type="cellIs" dxfId="1" priority="1" stopIfTrue="1" operator="notEqual">
      <formula>1</formula>
    </cfRule>
  </conditionalFormatting>
  <conditionalFormatting sqref="B42">
    <cfRule type="cellIs" dxfId="0" priority="2" stopIfTrue="1" operator="equal">
      <formula>"i.v."</formula>
    </cfRule>
  </conditionalFormatting>
  <dataValidations count="7">
    <dataValidation type="date" allowBlank="1" showInputMessage="1" showErrorMessage="1" sqref="D9 F5">
      <formula1>36526</formula1>
      <formula2>55153</formula2>
    </dataValidation>
    <dataValidation type="decimal" allowBlank="1" showInputMessage="1" showErrorMessage="1" promptTitle="Dosismodifikation" prompt="0-150%" sqref="F12 F15 F17 F19 F22 F24 F26 F28 F30 F33 F36 F38 F40 F42">
      <formula1>0</formula1>
      <formula2>15</formula2>
    </dataValidation>
    <dataValidation type="list" allowBlank="1" showInputMessage="1" showErrorMessage="1" sqref="J5">
      <formula1>"rechts,links,-"</formula1>
    </dataValidation>
    <dataValidation type="list" allowBlank="1" showInputMessage="1" showErrorMessage="1" sqref="J4">
      <formula1>"-,rechts,links"</formula1>
    </dataValidation>
    <dataValidation type="decimal" allowBlank="1" showInputMessage="1" showErrorMessage="1" errorTitle="Grenzwerte" error="Nur Werte zwischen 40 und 250 erlaubt!" sqref="F4">
      <formula1>40</formula1>
      <formula2>250</formula2>
    </dataValidation>
    <dataValidation type="decimal" allowBlank="1" showInputMessage="1" showErrorMessage="1" errorTitle="Grenzwerte" error="Nur Werte zwischen 120 und 220 erlaubt!" sqref="D4">
      <formula1>120</formula1>
      <formula2>230</formula2>
    </dataValidation>
    <dataValidation type="decimal" allowBlank="1" showInputMessage="1" showErrorMessage="1" errorTitle="Grenzwerte" error="Nur Werte zwischen 0,3 und 5 erlaubt!" sqref="D5">
      <formula1>0.3</formula1>
      <formula2>5</formula2>
    </dataValidation>
  </dataValidations>
  <pageMargins left="0" right="0" top="0.78740157480314965" bottom="0.78740157480314965" header="0" footer="0"/>
  <pageSetup paperSize="9" scale="93" fitToHeight="0" orientation="landscape" r:id="rId1"/>
  <headerFooter>
    <oddHeader>&amp;C&amp;G&amp;LOnk. Amb. privat_x000D_Telefon: 1234_x000D_Fax: 5678&amp;RPraxis_x000D_Prof. Dr. Hans Mustermann_x000D_Onkologische Ambulanz</oddHeader>
    <oddFooter>&amp;LAnordnung (Vorname, Name, Datum)&amp;CDie Herausgeber und Autoren übernehmen keine Haftung für die Richtigkeit der Inhalte._x000D_Eine Plausibilitätsprüfung des Therapieplans durch den Arzt ist erforderlich.&amp;ROnkopti® (PID=47 V1.2)_x000D_01.09.2021 15:36:24_x000D_&amp;P/&amp;N</oddFooter>
  </headerFooter>
  <legacyDrawing r:id="rId2"/>
  <legacyDrawingHF r:id="rId3"/>
</worksheet>
</file>

<file path=customUI/customUI14.xml><?xml version="1.0" encoding="utf-8"?>
<customUI xmlns="http://schemas.microsoft.com/office/2009/07/customui" onLoad="RibbonOnLoad">
  <ribbon startFromScratch="false">
    <tabs>
      <tab id="optiTab" label="OptiTemplate">
        <group id="OPTIFile" label="Protokoll">
          <button id="optiNewFile" label="Neu" imageMso="FileNew" size="large" onAction="RibbonNewFile" supertip="Erstellen eines neuen Protokolls auf Basis einer .opti Datei."/>
          <button id="optiNewTherapy" label="Wechsel" imageMso="NewMeetingWithContact" size="large" onAction="RibbonChangeTherapy" supertip="Wechsel der Therapie unter Beibehaltung der Patientendaten."/>
          <button id="optiOpenFile" label="Öffnen" imageMso="FileOpen" size="large" onAction="RibbonOpenFile"/>
          <button id="optiSaveFile" label="Speichern" imageMso="FileSave" size="large" onAction="RibbonSaveFile" supertip="Protokoll als Excel-Datei speichern."/>
          <button id="optiEntwurf" label="Entwurf" imageMso="ColorRed" size="large" onAction="RibbonSetDesign" supertip="Protokoll auf Entwurf setzen"/>
          <button id="optiGueltig" label="Gültig" imageMso="TagMarkComplete" size="large" onAction="RibbonSetValid" supertip="Protokoll gültig setzen"/>
        </group>
        <group id="OPTIOutput" label="Ausgabe">
          <button id="optiPrintFile" label="Drucken" imageMso="FilePrint" size="large" onAction="RibbonPrintFile" supertip="Protokoll drucken."/>
          <button id="optiSAVEPDF" label="PDF" imageMso="FileSaveAsPdfOrXps" size="large" onAction="RibbonPrintPDF" supertip="PDF speichern."/>
        </group>
        <group id="OPTIFun" label="Assistenten">
          <button id="optiZyklus" label="Zyklus" imageMso="DateAndTimeInsert" size="large" onAction="RibbonZyklusWizard" supertip="Neuen Zyklus anlegen."/>
          <button id="zielwertRechner" label="Zielwert" imageMso="Calculator" size="large" onAction="RibbonZielwertRechner" supertip="Zieldosis einstellen."/>
          <button id="optiPatient" label="Patient" imageMso="ViewsFormView" size="large" onAction="RibbonDataWizard" supertip="Patientendaten eingeben."/>
          <button id="molRechner" label="µmol" imageMso="Calculator" size="large" onAction="RibbonMolRechner" supertip="µmol/l in mg/dl umrechnen."/>
          <!-- <button id="toggleSonstigeTherapie" label="Sonstige Therapie" imageMso="AdpDiagramHideTable" size="large"  onAction="RibbonToggleSonstige"  /> -->
        </group>
        <group id="OPTIInfo" label="Sonstiges">
          <button id="optiRefresh" label="Refresh" imageMso="Refresh" size="large" onAction="RibbonRefresh" supertip="Berechnungen aktualisieren."/>
          <button id="optiShowInfo" label="Info" imageMso="Info" size="large" onAction="RibbonShowInfo" supertip="Über Onkopti."/>
          <button id="optiProtoLink" label="Protokoll" imageMso="QuickPartsInsertFromOnline" size="large" onAction="RibbonProtoLink"/>
          <button id="optiInternet" label="Onkopti®" imageMso="QuickPartsInsertFromOnline" size="large" onAction="RibbonOptiHom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544</vt:i4>
      </vt:variant>
    </vt:vector>
  </HeadingPairs>
  <TitlesOfParts>
    <vt:vector size="550" baseType="lpstr">
      <vt:lpstr>Übersicht</vt:lpstr>
      <vt:lpstr>Zyklusdiagramm</vt:lpstr>
      <vt:lpstr>Tag 1</vt:lpstr>
      <vt:lpstr>Tag 2</vt:lpstr>
      <vt:lpstr>Tag 3</vt:lpstr>
      <vt:lpstr>Tag 4</vt:lpstr>
      <vt:lpstr>Auftragsnummer</vt:lpstr>
      <vt:lpstr>Dateipfad</vt:lpstr>
      <vt:lpstr>DatumErsterZyklus</vt:lpstr>
      <vt:lpstr>Diagnose</vt:lpstr>
      <vt:lpstr>Empfehlungen</vt:lpstr>
      <vt:lpstr>EmpfZyklen</vt:lpstr>
      <vt:lpstr>ErstdiagnoseDatum</vt:lpstr>
      <vt:lpstr>Generic_1_Appl</vt:lpstr>
      <vt:lpstr>Generic_1_Unit</vt:lpstr>
      <vt:lpstr>Generic_2_Appl</vt:lpstr>
      <vt:lpstr>Generic_2_Unit</vt:lpstr>
      <vt:lpstr>Generic_3_Appl</vt:lpstr>
      <vt:lpstr>Generic_3_Unit</vt:lpstr>
      <vt:lpstr>Generic_4_Appl</vt:lpstr>
      <vt:lpstr>Generic_4_Unit</vt:lpstr>
      <vt:lpstr>GroesseCM</vt:lpstr>
      <vt:lpstr>GroesseCM_1</vt:lpstr>
      <vt:lpstr>GroesseCM_2</vt:lpstr>
      <vt:lpstr>GroesseCM_3</vt:lpstr>
      <vt:lpstr>GroesseCM_4</vt:lpstr>
      <vt:lpstr>Herkunft</vt:lpstr>
      <vt:lpstr>Hinweise</vt:lpstr>
      <vt:lpstr>Indikationen</vt:lpstr>
      <vt:lpstr>IntervallTage</vt:lpstr>
      <vt:lpstr>IntervalltageOriginal</vt:lpstr>
      <vt:lpstr>KG</vt:lpstr>
      <vt:lpstr>KG_1</vt:lpstr>
      <vt:lpstr>KG_2</vt:lpstr>
      <vt:lpstr>KG_3</vt:lpstr>
      <vt:lpstr>KG_4</vt:lpstr>
      <vt:lpstr>Klassifikation</vt:lpstr>
      <vt:lpstr>KOF</vt:lpstr>
      <vt:lpstr>KOF_1</vt:lpstr>
      <vt:lpstr>KOF_2</vt:lpstr>
      <vt:lpstr>KOF_3</vt:lpstr>
      <vt:lpstr>KOF_4</vt:lpstr>
      <vt:lpstr>Literatur0</vt:lpstr>
      <vt:lpstr>Literatur1</vt:lpstr>
      <vt:lpstr>Literatur2</vt:lpstr>
      <vt:lpstr>ModuleHead_1_1</vt:lpstr>
      <vt:lpstr>ModuleHead_1_2</vt:lpstr>
      <vt:lpstr>ModuleHead_1_3</vt:lpstr>
      <vt:lpstr>ModuleHead_1_4</vt:lpstr>
      <vt:lpstr>ModuleHead_1011_1</vt:lpstr>
      <vt:lpstr>ModuleHead_1011_2</vt:lpstr>
      <vt:lpstr>ModuleHead_1011_3</vt:lpstr>
      <vt:lpstr>ModuleHead_1011_4</vt:lpstr>
      <vt:lpstr>ModuleHead_1041_1</vt:lpstr>
      <vt:lpstr>ModuleHead_1041_2</vt:lpstr>
      <vt:lpstr>ModuleHead_1041_3</vt:lpstr>
      <vt:lpstr>ModuleHead_1041_4</vt:lpstr>
      <vt:lpstr>ModuleHead_2859_1</vt:lpstr>
      <vt:lpstr>ModuleHead_2859_2</vt:lpstr>
      <vt:lpstr>ModuleHead_2859_3</vt:lpstr>
      <vt:lpstr>ModuleHead_2859_4</vt:lpstr>
      <vt:lpstr>ModuleHead_381_1</vt:lpstr>
      <vt:lpstr>ModuleHead_381_2</vt:lpstr>
      <vt:lpstr>ModuleHead_381_3</vt:lpstr>
      <vt:lpstr>ModuleHead_381_4</vt:lpstr>
      <vt:lpstr>nächsterZyklus</vt:lpstr>
      <vt:lpstr>OVRow_1</vt:lpstr>
      <vt:lpstr>OVRow_11533</vt:lpstr>
      <vt:lpstr>OVRow_2</vt:lpstr>
      <vt:lpstr>OVRow_2339</vt:lpstr>
      <vt:lpstr>OVRow_2435</vt:lpstr>
      <vt:lpstr>OVRow_3</vt:lpstr>
      <vt:lpstr>OVRow_4</vt:lpstr>
      <vt:lpstr>OVRow_6606</vt:lpstr>
      <vt:lpstr>OVRow_6607</vt:lpstr>
      <vt:lpstr>OVRow_6608</vt:lpstr>
      <vt:lpstr>OVRow_6609</vt:lpstr>
      <vt:lpstr>OVRow_6610</vt:lpstr>
      <vt:lpstr>OVRow_947</vt:lpstr>
      <vt:lpstr>OVRow_948</vt:lpstr>
      <vt:lpstr>PatientAlter</vt:lpstr>
      <vt:lpstr>PatientGeboren</vt:lpstr>
      <vt:lpstr>PatientGeschlecht</vt:lpstr>
      <vt:lpstr>PatientID</vt:lpstr>
      <vt:lpstr>PatientInfusionsarm</vt:lpstr>
      <vt:lpstr>PatientKreatininClearance</vt:lpstr>
      <vt:lpstr>PatientName</vt:lpstr>
      <vt:lpstr>PatientPort</vt:lpstr>
      <vt:lpstr>PatientSerumKreatinin</vt:lpstr>
      <vt:lpstr>PatientSerumKreatininDatum</vt:lpstr>
      <vt:lpstr>PD_1</vt:lpstr>
      <vt:lpstr>PD_2</vt:lpstr>
      <vt:lpstr>PD_3</vt:lpstr>
      <vt:lpstr>PD_4</vt:lpstr>
      <vt:lpstr>PDateDS_1</vt:lpstr>
      <vt:lpstr>PDateDS_2</vt:lpstr>
      <vt:lpstr>PDateDS_3</vt:lpstr>
      <vt:lpstr>PDateDS_4</vt:lpstr>
      <vt:lpstr>PDateOV_1</vt:lpstr>
      <vt:lpstr>PDateOV_2</vt:lpstr>
      <vt:lpstr>PDateOV_3</vt:lpstr>
      <vt:lpstr>PDateOV_4</vt:lpstr>
      <vt:lpstr>PMSID_1_1_A_D</vt:lpstr>
      <vt:lpstr>PMSID_1_1_A_OV</vt:lpstr>
      <vt:lpstr>PMSID_1_1_B_D</vt:lpstr>
      <vt:lpstr>PMSID_1_1_B_OV</vt:lpstr>
      <vt:lpstr>PMSID_1_1_F_D</vt:lpstr>
      <vt:lpstr>PMSID_1_1_F_OV</vt:lpstr>
      <vt:lpstr>PMSID_1_1_Name</vt:lpstr>
      <vt:lpstr>PMSID_1_2_A_D</vt:lpstr>
      <vt:lpstr>PMSID_1_2_A_OV</vt:lpstr>
      <vt:lpstr>PMSID_1_2_B_D</vt:lpstr>
      <vt:lpstr>PMSID_1_2_B_OV</vt:lpstr>
      <vt:lpstr>PMSID_1_2_F_D</vt:lpstr>
      <vt:lpstr>PMSID_1_2_F_OV</vt:lpstr>
      <vt:lpstr>PMSID_1_2_Name</vt:lpstr>
      <vt:lpstr>PMSID_1_3_A_D</vt:lpstr>
      <vt:lpstr>PMSID_1_3_A_OV</vt:lpstr>
      <vt:lpstr>PMSID_1_3_B_D</vt:lpstr>
      <vt:lpstr>PMSID_1_3_B_OV</vt:lpstr>
      <vt:lpstr>PMSID_1_3_F_D</vt:lpstr>
      <vt:lpstr>PMSID_1_3_F_OV</vt:lpstr>
      <vt:lpstr>PMSID_1_3_Name</vt:lpstr>
      <vt:lpstr>PMSID_1_4_A_D</vt:lpstr>
      <vt:lpstr>PMSID_1_4_A_OV</vt:lpstr>
      <vt:lpstr>PMSID_1_4_B_D</vt:lpstr>
      <vt:lpstr>PMSID_1_4_B_OV</vt:lpstr>
      <vt:lpstr>PMSID_1_4_F_D</vt:lpstr>
      <vt:lpstr>PMSID_1_4_F_OV</vt:lpstr>
      <vt:lpstr>PMSID_1_4_Name</vt:lpstr>
      <vt:lpstr>PMSID_11533_1_A_D</vt:lpstr>
      <vt:lpstr>PMSID_11533_1_A_OV</vt:lpstr>
      <vt:lpstr>PMSID_11533_1_B_D</vt:lpstr>
      <vt:lpstr>PMSID_11533_1_B_OV</vt:lpstr>
      <vt:lpstr>PMSID_11533_1_F_D</vt:lpstr>
      <vt:lpstr>PMSID_11533_1_F_OV</vt:lpstr>
      <vt:lpstr>PMSID_11533_1_Name</vt:lpstr>
      <vt:lpstr>PMSID_11533_2_A_D</vt:lpstr>
      <vt:lpstr>PMSID_11533_2_A_OV</vt:lpstr>
      <vt:lpstr>PMSID_11533_2_B_D</vt:lpstr>
      <vt:lpstr>PMSID_11533_2_B_OV</vt:lpstr>
      <vt:lpstr>PMSID_11533_2_F_D</vt:lpstr>
      <vt:lpstr>PMSID_11533_2_F_OV</vt:lpstr>
      <vt:lpstr>PMSID_11533_2_Name</vt:lpstr>
      <vt:lpstr>PMSID_11533_3_A_D</vt:lpstr>
      <vt:lpstr>PMSID_11533_3_A_OV</vt:lpstr>
      <vt:lpstr>PMSID_11533_3_B_D</vt:lpstr>
      <vt:lpstr>PMSID_11533_3_B_OV</vt:lpstr>
      <vt:lpstr>PMSID_11533_3_F_D</vt:lpstr>
      <vt:lpstr>PMSID_11533_3_F_OV</vt:lpstr>
      <vt:lpstr>PMSID_11533_3_Name</vt:lpstr>
      <vt:lpstr>PMSID_11533_4_A_D</vt:lpstr>
      <vt:lpstr>PMSID_11533_4_A_OV</vt:lpstr>
      <vt:lpstr>PMSID_11533_4_B_D</vt:lpstr>
      <vt:lpstr>PMSID_11533_4_B_OV</vt:lpstr>
      <vt:lpstr>PMSID_11533_4_F_D</vt:lpstr>
      <vt:lpstr>PMSID_11533_4_F_OV</vt:lpstr>
      <vt:lpstr>PMSID_11533_4_Name</vt:lpstr>
      <vt:lpstr>PMSID_2_1_A_D</vt:lpstr>
      <vt:lpstr>PMSID_2_1_A_OV</vt:lpstr>
      <vt:lpstr>PMSID_2_1_B_D</vt:lpstr>
      <vt:lpstr>PMSID_2_1_B_OV</vt:lpstr>
      <vt:lpstr>PMSID_2_1_F_D</vt:lpstr>
      <vt:lpstr>PMSID_2_1_F_OV</vt:lpstr>
      <vt:lpstr>PMSID_2_1_Name</vt:lpstr>
      <vt:lpstr>PMSID_2_2_A_D</vt:lpstr>
      <vt:lpstr>PMSID_2_2_A_OV</vt:lpstr>
      <vt:lpstr>PMSID_2_2_B_D</vt:lpstr>
      <vt:lpstr>PMSID_2_2_B_OV</vt:lpstr>
      <vt:lpstr>PMSID_2_2_F_D</vt:lpstr>
      <vt:lpstr>PMSID_2_2_F_OV</vt:lpstr>
      <vt:lpstr>PMSID_2_2_Name</vt:lpstr>
      <vt:lpstr>PMSID_2_3_A_D</vt:lpstr>
      <vt:lpstr>PMSID_2_3_A_OV</vt:lpstr>
      <vt:lpstr>PMSID_2_3_B_D</vt:lpstr>
      <vt:lpstr>PMSID_2_3_B_OV</vt:lpstr>
      <vt:lpstr>PMSID_2_3_F_D</vt:lpstr>
      <vt:lpstr>PMSID_2_3_F_OV</vt:lpstr>
      <vt:lpstr>PMSID_2_3_Name</vt:lpstr>
      <vt:lpstr>PMSID_2_4_A_D</vt:lpstr>
      <vt:lpstr>PMSID_2_4_A_OV</vt:lpstr>
      <vt:lpstr>PMSID_2_4_B_D</vt:lpstr>
      <vt:lpstr>PMSID_2_4_B_OV</vt:lpstr>
      <vt:lpstr>PMSID_2_4_F_D</vt:lpstr>
      <vt:lpstr>PMSID_2_4_F_OV</vt:lpstr>
      <vt:lpstr>PMSID_2_4_Name</vt:lpstr>
      <vt:lpstr>PMSID_2339_1_A_D</vt:lpstr>
      <vt:lpstr>PMSID_2339_1_A_OV</vt:lpstr>
      <vt:lpstr>PMSID_2339_1_B_D</vt:lpstr>
      <vt:lpstr>PMSID_2339_1_B_OV</vt:lpstr>
      <vt:lpstr>PMSID_2339_1_F_D</vt:lpstr>
      <vt:lpstr>PMSID_2339_1_F_OV</vt:lpstr>
      <vt:lpstr>PMSID_2339_1_Name</vt:lpstr>
      <vt:lpstr>PMSID_2339_2_A_D</vt:lpstr>
      <vt:lpstr>PMSID_2339_2_A_OV</vt:lpstr>
      <vt:lpstr>PMSID_2339_2_B_D</vt:lpstr>
      <vt:lpstr>PMSID_2339_2_B_OV</vt:lpstr>
      <vt:lpstr>PMSID_2339_2_F_D</vt:lpstr>
      <vt:lpstr>PMSID_2339_2_F_OV</vt:lpstr>
      <vt:lpstr>PMSID_2339_2_Name</vt:lpstr>
      <vt:lpstr>PMSID_2339_3_A_D</vt:lpstr>
      <vt:lpstr>PMSID_2339_3_A_OV</vt:lpstr>
      <vt:lpstr>PMSID_2339_3_B_D</vt:lpstr>
      <vt:lpstr>PMSID_2339_3_B_OV</vt:lpstr>
      <vt:lpstr>PMSID_2339_3_F_D</vt:lpstr>
      <vt:lpstr>PMSID_2339_3_F_OV</vt:lpstr>
      <vt:lpstr>PMSID_2339_3_Name</vt:lpstr>
      <vt:lpstr>PMSID_2339_4_A_D</vt:lpstr>
      <vt:lpstr>PMSID_2339_4_A_OV</vt:lpstr>
      <vt:lpstr>PMSID_2339_4_B_D</vt:lpstr>
      <vt:lpstr>PMSID_2339_4_B_OV</vt:lpstr>
      <vt:lpstr>PMSID_2339_4_F_D</vt:lpstr>
      <vt:lpstr>PMSID_2339_4_F_OV</vt:lpstr>
      <vt:lpstr>PMSID_2339_4_Name</vt:lpstr>
      <vt:lpstr>PMSID_2435_1_A_D</vt:lpstr>
      <vt:lpstr>PMSID_2435_1_A_OV</vt:lpstr>
      <vt:lpstr>PMSID_2435_1_B_D</vt:lpstr>
      <vt:lpstr>PMSID_2435_1_B_OV</vt:lpstr>
      <vt:lpstr>PMSID_2435_1_F_D</vt:lpstr>
      <vt:lpstr>PMSID_2435_1_F_OV</vt:lpstr>
      <vt:lpstr>PMSID_2435_1_Name</vt:lpstr>
      <vt:lpstr>PMSID_2435_2_A_D</vt:lpstr>
      <vt:lpstr>PMSID_2435_2_A_OV</vt:lpstr>
      <vt:lpstr>PMSID_2435_2_B_D</vt:lpstr>
      <vt:lpstr>PMSID_2435_2_B_OV</vt:lpstr>
      <vt:lpstr>PMSID_2435_2_F_D</vt:lpstr>
      <vt:lpstr>PMSID_2435_2_F_OV</vt:lpstr>
      <vt:lpstr>PMSID_2435_2_Name</vt:lpstr>
      <vt:lpstr>PMSID_2435_3_A_D</vt:lpstr>
      <vt:lpstr>PMSID_2435_3_A_OV</vt:lpstr>
      <vt:lpstr>PMSID_2435_3_B_D</vt:lpstr>
      <vt:lpstr>PMSID_2435_3_B_OV</vt:lpstr>
      <vt:lpstr>PMSID_2435_3_F_D</vt:lpstr>
      <vt:lpstr>PMSID_2435_3_F_OV</vt:lpstr>
      <vt:lpstr>PMSID_2435_3_Name</vt:lpstr>
      <vt:lpstr>PMSID_2435_4_A_D</vt:lpstr>
      <vt:lpstr>PMSID_2435_4_A_OV</vt:lpstr>
      <vt:lpstr>PMSID_2435_4_B_D</vt:lpstr>
      <vt:lpstr>PMSID_2435_4_B_OV</vt:lpstr>
      <vt:lpstr>PMSID_2435_4_F_D</vt:lpstr>
      <vt:lpstr>PMSID_2435_4_F_OV</vt:lpstr>
      <vt:lpstr>PMSID_2435_4_Name</vt:lpstr>
      <vt:lpstr>PMSID_3_1_A_D</vt:lpstr>
      <vt:lpstr>PMSID_3_1_A_OV</vt:lpstr>
      <vt:lpstr>PMSID_3_1_B_D</vt:lpstr>
      <vt:lpstr>PMSID_3_1_B_OV</vt:lpstr>
      <vt:lpstr>PMSID_3_1_F_D</vt:lpstr>
      <vt:lpstr>PMSID_3_1_F_OV</vt:lpstr>
      <vt:lpstr>PMSID_3_1_Name</vt:lpstr>
      <vt:lpstr>PMSID_3_2_A_D</vt:lpstr>
      <vt:lpstr>PMSID_3_2_A_OV</vt:lpstr>
      <vt:lpstr>PMSID_3_2_B_D</vt:lpstr>
      <vt:lpstr>PMSID_3_2_B_OV</vt:lpstr>
      <vt:lpstr>PMSID_3_2_F_D</vt:lpstr>
      <vt:lpstr>PMSID_3_2_F_OV</vt:lpstr>
      <vt:lpstr>PMSID_3_2_Name</vt:lpstr>
      <vt:lpstr>PMSID_3_3_A_D</vt:lpstr>
      <vt:lpstr>PMSID_3_3_A_OV</vt:lpstr>
      <vt:lpstr>PMSID_3_3_B_D</vt:lpstr>
      <vt:lpstr>PMSID_3_3_B_OV</vt:lpstr>
      <vt:lpstr>PMSID_3_3_F_D</vt:lpstr>
      <vt:lpstr>PMSID_3_3_F_OV</vt:lpstr>
      <vt:lpstr>PMSID_3_3_Name</vt:lpstr>
      <vt:lpstr>PMSID_3_4_A_D</vt:lpstr>
      <vt:lpstr>PMSID_3_4_A_OV</vt:lpstr>
      <vt:lpstr>PMSID_3_4_B_D</vt:lpstr>
      <vt:lpstr>PMSID_3_4_B_OV</vt:lpstr>
      <vt:lpstr>PMSID_3_4_F_D</vt:lpstr>
      <vt:lpstr>PMSID_3_4_F_OV</vt:lpstr>
      <vt:lpstr>PMSID_3_4_Name</vt:lpstr>
      <vt:lpstr>PMSID_4_1_A_D</vt:lpstr>
      <vt:lpstr>PMSID_4_1_A_OV</vt:lpstr>
      <vt:lpstr>PMSID_4_1_B_D</vt:lpstr>
      <vt:lpstr>PMSID_4_1_B_OV</vt:lpstr>
      <vt:lpstr>PMSID_4_1_F_D</vt:lpstr>
      <vt:lpstr>PMSID_4_1_F_OV</vt:lpstr>
      <vt:lpstr>PMSID_4_1_Name</vt:lpstr>
      <vt:lpstr>PMSID_4_2_A_D</vt:lpstr>
      <vt:lpstr>PMSID_4_2_A_OV</vt:lpstr>
      <vt:lpstr>PMSID_4_2_B_D</vt:lpstr>
      <vt:lpstr>PMSID_4_2_B_OV</vt:lpstr>
      <vt:lpstr>PMSID_4_2_F_D</vt:lpstr>
      <vt:lpstr>PMSID_4_2_F_OV</vt:lpstr>
      <vt:lpstr>PMSID_4_2_Name</vt:lpstr>
      <vt:lpstr>PMSID_4_3_A_D</vt:lpstr>
      <vt:lpstr>PMSID_4_3_A_OV</vt:lpstr>
      <vt:lpstr>PMSID_4_3_B_D</vt:lpstr>
      <vt:lpstr>PMSID_4_3_B_OV</vt:lpstr>
      <vt:lpstr>PMSID_4_3_F_D</vt:lpstr>
      <vt:lpstr>PMSID_4_3_F_OV</vt:lpstr>
      <vt:lpstr>PMSID_4_3_Name</vt:lpstr>
      <vt:lpstr>PMSID_4_4_A_D</vt:lpstr>
      <vt:lpstr>PMSID_4_4_A_OV</vt:lpstr>
      <vt:lpstr>PMSID_4_4_B_D</vt:lpstr>
      <vt:lpstr>PMSID_4_4_B_OV</vt:lpstr>
      <vt:lpstr>PMSID_4_4_F_D</vt:lpstr>
      <vt:lpstr>PMSID_4_4_F_OV</vt:lpstr>
      <vt:lpstr>PMSID_4_4_Name</vt:lpstr>
      <vt:lpstr>PMSID_6606_1_A_D</vt:lpstr>
      <vt:lpstr>PMSID_6606_1_A_OV</vt:lpstr>
      <vt:lpstr>PMSID_6606_1_B_D</vt:lpstr>
      <vt:lpstr>PMSID_6606_1_B_OV</vt:lpstr>
      <vt:lpstr>PMSID_6606_1_F_D</vt:lpstr>
      <vt:lpstr>PMSID_6606_1_F_OV</vt:lpstr>
      <vt:lpstr>PMSID_6606_1_Name</vt:lpstr>
      <vt:lpstr>PMSID_6606_2_A_D</vt:lpstr>
      <vt:lpstr>PMSID_6606_2_A_OV</vt:lpstr>
      <vt:lpstr>PMSID_6606_2_B_D</vt:lpstr>
      <vt:lpstr>PMSID_6606_2_B_OV</vt:lpstr>
      <vt:lpstr>PMSID_6606_2_F_D</vt:lpstr>
      <vt:lpstr>PMSID_6606_2_F_OV</vt:lpstr>
      <vt:lpstr>PMSID_6606_2_Name</vt:lpstr>
      <vt:lpstr>PMSID_6606_3_A_D</vt:lpstr>
      <vt:lpstr>PMSID_6606_3_A_OV</vt:lpstr>
      <vt:lpstr>PMSID_6606_3_B_D</vt:lpstr>
      <vt:lpstr>PMSID_6606_3_B_OV</vt:lpstr>
      <vt:lpstr>PMSID_6606_3_F_D</vt:lpstr>
      <vt:lpstr>PMSID_6606_3_F_OV</vt:lpstr>
      <vt:lpstr>PMSID_6606_3_Name</vt:lpstr>
      <vt:lpstr>PMSID_6606_4_A_D</vt:lpstr>
      <vt:lpstr>PMSID_6606_4_A_OV</vt:lpstr>
      <vt:lpstr>PMSID_6606_4_B_D</vt:lpstr>
      <vt:lpstr>PMSID_6606_4_B_OV</vt:lpstr>
      <vt:lpstr>PMSID_6606_4_F_D</vt:lpstr>
      <vt:lpstr>PMSID_6606_4_F_OV</vt:lpstr>
      <vt:lpstr>PMSID_6606_4_Name</vt:lpstr>
      <vt:lpstr>PMSID_6607_1_A_D</vt:lpstr>
      <vt:lpstr>PMSID_6607_1_A_OV</vt:lpstr>
      <vt:lpstr>PMSID_6607_1_B_D</vt:lpstr>
      <vt:lpstr>PMSID_6607_1_B_OV</vt:lpstr>
      <vt:lpstr>PMSID_6607_1_F_D</vt:lpstr>
      <vt:lpstr>PMSID_6607_1_F_OV</vt:lpstr>
      <vt:lpstr>PMSID_6607_1_Name</vt:lpstr>
      <vt:lpstr>PMSID_6607_2_A_D</vt:lpstr>
      <vt:lpstr>PMSID_6607_2_A_OV</vt:lpstr>
      <vt:lpstr>PMSID_6607_2_B_D</vt:lpstr>
      <vt:lpstr>PMSID_6607_2_B_OV</vt:lpstr>
      <vt:lpstr>PMSID_6607_2_F_D</vt:lpstr>
      <vt:lpstr>PMSID_6607_2_F_OV</vt:lpstr>
      <vt:lpstr>PMSID_6607_2_Name</vt:lpstr>
      <vt:lpstr>PMSID_6607_3_A_D</vt:lpstr>
      <vt:lpstr>PMSID_6607_3_A_OV</vt:lpstr>
      <vt:lpstr>PMSID_6607_3_B_D</vt:lpstr>
      <vt:lpstr>PMSID_6607_3_B_OV</vt:lpstr>
      <vt:lpstr>PMSID_6607_3_F_D</vt:lpstr>
      <vt:lpstr>PMSID_6607_3_F_OV</vt:lpstr>
      <vt:lpstr>PMSID_6607_3_Name</vt:lpstr>
      <vt:lpstr>PMSID_6607_4_A_D</vt:lpstr>
      <vt:lpstr>PMSID_6607_4_A_OV</vt:lpstr>
      <vt:lpstr>PMSID_6607_4_B_D</vt:lpstr>
      <vt:lpstr>PMSID_6607_4_B_OV</vt:lpstr>
      <vt:lpstr>PMSID_6607_4_F_D</vt:lpstr>
      <vt:lpstr>PMSID_6607_4_F_OV</vt:lpstr>
      <vt:lpstr>PMSID_6607_4_Name</vt:lpstr>
      <vt:lpstr>PMSID_6608_1_A_D</vt:lpstr>
      <vt:lpstr>PMSID_6608_1_A_OV</vt:lpstr>
      <vt:lpstr>PMSID_6608_1_B_D</vt:lpstr>
      <vt:lpstr>PMSID_6608_1_B_OV</vt:lpstr>
      <vt:lpstr>PMSID_6608_1_F_D</vt:lpstr>
      <vt:lpstr>PMSID_6608_1_F_OV</vt:lpstr>
      <vt:lpstr>PMSID_6608_1_Name</vt:lpstr>
      <vt:lpstr>PMSID_6608_2_A_D</vt:lpstr>
      <vt:lpstr>PMSID_6608_2_A_OV</vt:lpstr>
      <vt:lpstr>PMSID_6608_2_B_D</vt:lpstr>
      <vt:lpstr>PMSID_6608_2_B_OV</vt:lpstr>
      <vt:lpstr>PMSID_6608_2_F_D</vt:lpstr>
      <vt:lpstr>PMSID_6608_2_F_OV</vt:lpstr>
      <vt:lpstr>PMSID_6608_2_Name</vt:lpstr>
      <vt:lpstr>PMSID_6608_3_A_D</vt:lpstr>
      <vt:lpstr>PMSID_6608_3_A_OV</vt:lpstr>
      <vt:lpstr>PMSID_6608_3_B_D</vt:lpstr>
      <vt:lpstr>PMSID_6608_3_B_OV</vt:lpstr>
      <vt:lpstr>PMSID_6608_3_F_D</vt:lpstr>
      <vt:lpstr>PMSID_6608_3_F_OV</vt:lpstr>
      <vt:lpstr>PMSID_6608_3_Name</vt:lpstr>
      <vt:lpstr>PMSID_6608_4_A_D</vt:lpstr>
      <vt:lpstr>PMSID_6608_4_A_OV</vt:lpstr>
      <vt:lpstr>PMSID_6608_4_B_D</vt:lpstr>
      <vt:lpstr>PMSID_6608_4_B_OV</vt:lpstr>
      <vt:lpstr>PMSID_6608_4_F_D</vt:lpstr>
      <vt:lpstr>PMSID_6608_4_F_OV</vt:lpstr>
      <vt:lpstr>PMSID_6608_4_Name</vt:lpstr>
      <vt:lpstr>PMSID_6609_1_A_D</vt:lpstr>
      <vt:lpstr>PMSID_6609_1_A_OV</vt:lpstr>
      <vt:lpstr>PMSID_6609_1_B_D</vt:lpstr>
      <vt:lpstr>PMSID_6609_1_B_OV</vt:lpstr>
      <vt:lpstr>PMSID_6609_1_F_D</vt:lpstr>
      <vt:lpstr>PMSID_6609_1_F_OV</vt:lpstr>
      <vt:lpstr>PMSID_6609_1_Name</vt:lpstr>
      <vt:lpstr>PMSID_6609_2_A_D</vt:lpstr>
      <vt:lpstr>PMSID_6609_2_A_OV</vt:lpstr>
      <vt:lpstr>PMSID_6609_2_B_D</vt:lpstr>
      <vt:lpstr>PMSID_6609_2_B_OV</vt:lpstr>
      <vt:lpstr>PMSID_6609_2_F_D</vt:lpstr>
      <vt:lpstr>PMSID_6609_2_F_OV</vt:lpstr>
      <vt:lpstr>PMSID_6609_2_Name</vt:lpstr>
      <vt:lpstr>PMSID_6609_3_A_D</vt:lpstr>
      <vt:lpstr>PMSID_6609_3_A_OV</vt:lpstr>
      <vt:lpstr>PMSID_6609_3_B_D</vt:lpstr>
      <vt:lpstr>PMSID_6609_3_B_OV</vt:lpstr>
      <vt:lpstr>PMSID_6609_3_F_D</vt:lpstr>
      <vt:lpstr>PMSID_6609_3_F_OV</vt:lpstr>
      <vt:lpstr>PMSID_6609_3_Name</vt:lpstr>
      <vt:lpstr>PMSID_6609_4_A_D</vt:lpstr>
      <vt:lpstr>PMSID_6609_4_A_OV</vt:lpstr>
      <vt:lpstr>PMSID_6609_4_B_D</vt:lpstr>
      <vt:lpstr>PMSID_6609_4_B_OV</vt:lpstr>
      <vt:lpstr>PMSID_6609_4_F_D</vt:lpstr>
      <vt:lpstr>PMSID_6609_4_F_OV</vt:lpstr>
      <vt:lpstr>PMSID_6609_4_Name</vt:lpstr>
      <vt:lpstr>PMSID_6610_1_A_D</vt:lpstr>
      <vt:lpstr>PMSID_6610_1_A_OV</vt:lpstr>
      <vt:lpstr>PMSID_6610_1_B_D</vt:lpstr>
      <vt:lpstr>PMSID_6610_1_B_OV</vt:lpstr>
      <vt:lpstr>PMSID_6610_1_F_D</vt:lpstr>
      <vt:lpstr>PMSID_6610_1_F_OV</vt:lpstr>
      <vt:lpstr>PMSID_6610_1_Name</vt:lpstr>
      <vt:lpstr>PMSID_6610_2_A_D</vt:lpstr>
      <vt:lpstr>PMSID_6610_2_A_OV</vt:lpstr>
      <vt:lpstr>PMSID_6610_2_B_D</vt:lpstr>
      <vt:lpstr>PMSID_6610_2_B_OV</vt:lpstr>
      <vt:lpstr>PMSID_6610_2_F_D</vt:lpstr>
      <vt:lpstr>PMSID_6610_2_F_OV</vt:lpstr>
      <vt:lpstr>PMSID_6610_2_Name</vt:lpstr>
      <vt:lpstr>PMSID_6610_3_A_D</vt:lpstr>
      <vt:lpstr>PMSID_6610_3_A_OV</vt:lpstr>
      <vt:lpstr>PMSID_6610_3_B_D</vt:lpstr>
      <vt:lpstr>PMSID_6610_3_B_OV</vt:lpstr>
      <vt:lpstr>PMSID_6610_3_F_D</vt:lpstr>
      <vt:lpstr>PMSID_6610_3_F_OV</vt:lpstr>
      <vt:lpstr>PMSID_6610_3_Name</vt:lpstr>
      <vt:lpstr>PMSID_6610_4_A_D</vt:lpstr>
      <vt:lpstr>PMSID_6610_4_A_OV</vt:lpstr>
      <vt:lpstr>PMSID_6610_4_B_D</vt:lpstr>
      <vt:lpstr>PMSID_6610_4_B_OV</vt:lpstr>
      <vt:lpstr>PMSID_6610_4_F_D</vt:lpstr>
      <vt:lpstr>PMSID_6610_4_F_OV</vt:lpstr>
      <vt:lpstr>PMSID_6610_4_Name</vt:lpstr>
      <vt:lpstr>PMSID_947_1_A_D</vt:lpstr>
      <vt:lpstr>PMSID_947_1_A_OV</vt:lpstr>
      <vt:lpstr>PMSID_947_1_B_D</vt:lpstr>
      <vt:lpstr>PMSID_947_1_B_OV</vt:lpstr>
      <vt:lpstr>PMSID_947_1_F_D</vt:lpstr>
      <vt:lpstr>PMSID_947_1_F_OV</vt:lpstr>
      <vt:lpstr>PMSID_947_1_Name</vt:lpstr>
      <vt:lpstr>PMSID_947_2_A_D</vt:lpstr>
      <vt:lpstr>PMSID_947_2_A_OV</vt:lpstr>
      <vt:lpstr>PMSID_947_2_B_D</vt:lpstr>
      <vt:lpstr>PMSID_947_2_B_OV</vt:lpstr>
      <vt:lpstr>PMSID_947_2_F_D</vt:lpstr>
      <vt:lpstr>PMSID_947_2_F_OV</vt:lpstr>
      <vt:lpstr>PMSID_947_2_Name</vt:lpstr>
      <vt:lpstr>PMSID_947_3_A_D</vt:lpstr>
      <vt:lpstr>PMSID_947_3_A_OV</vt:lpstr>
      <vt:lpstr>PMSID_947_3_B_D</vt:lpstr>
      <vt:lpstr>PMSID_947_3_B_OV</vt:lpstr>
      <vt:lpstr>PMSID_947_3_F_D</vt:lpstr>
      <vt:lpstr>PMSID_947_3_F_OV</vt:lpstr>
      <vt:lpstr>PMSID_947_3_Name</vt:lpstr>
      <vt:lpstr>PMSID_947_4_A_D</vt:lpstr>
      <vt:lpstr>PMSID_947_4_A_OV</vt:lpstr>
      <vt:lpstr>PMSID_947_4_B_D</vt:lpstr>
      <vt:lpstr>PMSID_947_4_B_OV</vt:lpstr>
      <vt:lpstr>PMSID_947_4_F_D</vt:lpstr>
      <vt:lpstr>PMSID_947_4_F_OV</vt:lpstr>
      <vt:lpstr>PMSID_947_4_Name</vt:lpstr>
      <vt:lpstr>PMSID_948_1_A_D</vt:lpstr>
      <vt:lpstr>PMSID_948_1_A_OV</vt:lpstr>
      <vt:lpstr>PMSID_948_1_B_D</vt:lpstr>
      <vt:lpstr>PMSID_948_1_B_OV</vt:lpstr>
      <vt:lpstr>PMSID_948_1_F_D</vt:lpstr>
      <vt:lpstr>PMSID_948_1_F_OV</vt:lpstr>
      <vt:lpstr>PMSID_948_1_Name</vt:lpstr>
      <vt:lpstr>PMSID_948_2_A_D</vt:lpstr>
      <vt:lpstr>PMSID_948_2_A_OV</vt:lpstr>
      <vt:lpstr>PMSID_948_2_B_D</vt:lpstr>
      <vt:lpstr>PMSID_948_2_B_OV</vt:lpstr>
      <vt:lpstr>PMSID_948_2_F_D</vt:lpstr>
      <vt:lpstr>PMSID_948_2_F_OV</vt:lpstr>
      <vt:lpstr>PMSID_948_2_Name</vt:lpstr>
      <vt:lpstr>PMSID_948_3_A_D</vt:lpstr>
      <vt:lpstr>PMSID_948_3_A_OV</vt:lpstr>
      <vt:lpstr>PMSID_948_3_B_D</vt:lpstr>
      <vt:lpstr>PMSID_948_3_B_OV</vt:lpstr>
      <vt:lpstr>PMSID_948_3_F_D</vt:lpstr>
      <vt:lpstr>PMSID_948_3_F_OV</vt:lpstr>
      <vt:lpstr>PMSID_948_3_Name</vt:lpstr>
      <vt:lpstr>PMSID_948_4_A_D</vt:lpstr>
      <vt:lpstr>PMSID_948_4_A_OV</vt:lpstr>
      <vt:lpstr>PMSID_948_4_B_D</vt:lpstr>
      <vt:lpstr>PMSID_948_4_B_OV</vt:lpstr>
      <vt:lpstr>PMSID_948_4_F_D</vt:lpstr>
      <vt:lpstr>PMSID_948_4_F_OV</vt:lpstr>
      <vt:lpstr>PMSID_948_4_Name</vt:lpstr>
      <vt:lpstr>'Tag 1'!Print_Area</vt:lpstr>
      <vt:lpstr>'Tag 2'!Print_Area</vt:lpstr>
      <vt:lpstr>'Tag 3'!Print_Area</vt:lpstr>
      <vt:lpstr>'Tag 4'!Print_Area</vt:lpstr>
      <vt:lpstr>Übersicht!Print_Area</vt:lpstr>
      <vt:lpstr>'Tag 1'!Print_Titles</vt:lpstr>
      <vt:lpstr>'Tag 2'!Print_Titles</vt:lpstr>
      <vt:lpstr>'Tag 3'!Print_Titles</vt:lpstr>
      <vt:lpstr>'Tag 4'!Print_Titles</vt:lpstr>
      <vt:lpstr>Übersicht!Print_Titles</vt:lpstr>
      <vt:lpstr>Protokollname</vt:lpstr>
      <vt:lpstr>Protokollrisiken</vt:lpstr>
      <vt:lpstr>SerumKreatinin_1</vt:lpstr>
      <vt:lpstr>SerumKreatinin_2</vt:lpstr>
      <vt:lpstr>SerumKreatinin_3</vt:lpstr>
      <vt:lpstr>SerumKreatinin_4</vt:lpstr>
      <vt:lpstr>SerumKreatininDatum_1</vt:lpstr>
      <vt:lpstr>SerumKreatininDatum_2</vt:lpstr>
      <vt:lpstr>SerumKreatininDatum_3</vt:lpstr>
      <vt:lpstr>SerumKreatininDatum_4</vt:lpstr>
      <vt:lpstr>Stadium</vt:lpstr>
      <vt:lpstr>Therapiebeginn</vt:lpstr>
      <vt:lpstr>Therapiemodus</vt:lpstr>
      <vt:lpstr>'Tag 1'!tplDayHeader</vt:lpstr>
      <vt:lpstr>'Tag 2'!tplDayHeader</vt:lpstr>
      <vt:lpstr>'Tag 3'!tplDayHeader</vt:lpstr>
      <vt:lpstr>'Tag 4'!tplDayHeader</vt:lpstr>
      <vt:lpstr>'Tag 1'!tplDayTableHeader</vt:lpstr>
      <vt:lpstr>'Tag 2'!tplDayTableHeader</vt:lpstr>
      <vt:lpstr>'Tag 3'!tplDayTableHeader</vt:lpstr>
      <vt:lpstr>'Tag 4'!tplDayTableHeader</vt:lpstr>
      <vt:lpstr>'Tag 1'!tplModuleRow</vt:lpstr>
      <vt:lpstr>'Tag 2'!tplModuleRow</vt:lpstr>
      <vt:lpstr>'Tag 3'!tplModuleRow</vt:lpstr>
      <vt:lpstr>'Tag 4'!tplModuleRow</vt:lpstr>
      <vt:lpstr>'Tag 1'!tplSubstanceRow</vt:lpstr>
      <vt:lpstr>'Tag 2'!tplSubstanceRow</vt:lpstr>
      <vt:lpstr>'Tag 3'!tplSubstanceRow</vt:lpstr>
      <vt:lpstr>'Tag 4'!tplSubstanceRow</vt:lpstr>
      <vt:lpstr>ZDRow_1</vt:lpstr>
      <vt:lpstr>ZDRow_11533</vt:lpstr>
      <vt:lpstr>ZDRow_2</vt:lpstr>
      <vt:lpstr>ZDRow_2339</vt:lpstr>
      <vt:lpstr>ZDRow_2435</vt:lpstr>
      <vt:lpstr>ZDRow_3</vt:lpstr>
      <vt:lpstr>ZDRow_4</vt:lpstr>
      <vt:lpstr>ZDRow_6606</vt:lpstr>
      <vt:lpstr>ZDRow_6607</vt:lpstr>
      <vt:lpstr>ZDRow_6608</vt:lpstr>
      <vt:lpstr>ZDRow_6609</vt:lpstr>
      <vt:lpstr>ZDRow_6610</vt:lpstr>
      <vt:lpstr>ZDRow_947</vt:lpstr>
      <vt:lpstr>ZDRow_948</vt:lpstr>
      <vt:lpstr>ZyklusDiagrammTL</vt:lpstr>
      <vt:lpstr>Zyklusende</vt:lpstr>
      <vt:lpstr>Zyklusnummer</vt:lpstr>
    </vt:vector>
  </TitlesOfParts>
  <Company>Fraunhofer IESE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wicken</dc:creator>
  <cp:lastModifiedBy>Wickenkamp, Axel</cp:lastModifiedBy>
  <cp:lastPrinted>2019-08-22T14:13:33Z</cp:lastPrinted>
  <dcterms:created xsi:type="dcterms:W3CDTF">2010-12-06T12:30:02Z</dcterms:created>
  <dcterms:modified xsi:type="dcterms:W3CDTF">2021-09-03T06:36:47Z</dcterms:modified>
</cp:coreProperties>
</file>